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 Z40-75\Desktop\ÑIELOL300317\Calculo\"/>
    </mc:Choice>
  </mc:AlternateContent>
  <bookViews>
    <workbookView xWindow="0" yWindow="0" windowWidth="20490" windowHeight="7755" tabRatio="838" activeTab="1"/>
  </bookViews>
  <sheets>
    <sheet name="INFORMACION INICIAL" sheetId="20" r:id="rId1"/>
    <sheet name="VENTILACION SUPER-PERS" sheetId="1" r:id="rId2"/>
    <sheet name="INFORME GENERAL" sheetId="43" r:id="rId3"/>
    <sheet name="DETALLE RADIADORES" sheetId="57" r:id="rId4"/>
    <sheet name="LOSA RADIANTE" sheetId="47" state="hidden" r:id="rId5"/>
    <sheet name="Sala AL1-AL2-AL3-AL4" sheetId="2" state="hidden" r:id="rId6"/>
    <sheet name="Sala AL5-AL6" sheetId="3" state="hidden" r:id="rId7"/>
    <sheet name="Sala AL7-AL8-AL9-AL10" sheetId="4" state="hidden" r:id="rId8"/>
    <sheet name="Sala ABRM1-ABRM2" sheetId="5" state="hidden" r:id="rId9"/>
    <sheet name="Sala ABRM3-ABRM4-ABRM5-ABRM6" sheetId="6" state="hidden" r:id="rId10"/>
    <sheet name="Sala ABRM7-ABRM8" sheetId="7" state="hidden" r:id="rId11"/>
    <sheet name="Sala COPE" sheetId="8" state="hidden" r:id="rId12"/>
    <sheet name="Sala COM-SP" sheetId="9" state="hidden" r:id="rId13"/>
    <sheet name="Sala AESM" sheetId="10" state="hidden" r:id="rId14"/>
    <sheet name="Sala AES" sheetId="45" state="hidden" r:id="rId15"/>
    <sheet name="Sala OD" sheetId="46" state="hidden" r:id="rId16"/>
    <sheet name="Sala SC1-SC2" sheetId="11" state="hidden" r:id="rId17"/>
    <sheet name="Sala BP1-BP2-BP3-BP4" sheetId="12" state="hidden" r:id="rId18"/>
    <sheet name="Sala DMD-APA1-APA2" sheetId="13" state="hidden" r:id="rId19"/>
    <sheet name="Sala UTP " sheetId="15" state="hidden" r:id="rId20"/>
    <sheet name="Sala DIR" sheetId="16" state="hidden" r:id="rId21"/>
    <sheet name="Sala BP5-CP" sheetId="17" state="hidden" r:id="rId22"/>
    <sheet name="Sala PA" sheetId="18" state="hidden" r:id="rId23"/>
    <sheet name="Sala AET-A1-A2-A3" sheetId="19" state="hidden" r:id="rId24"/>
    <sheet name="Sala ACP" sheetId="38" state="hidden" r:id="rId25"/>
    <sheet name="Sala RECEP-SEC" sheetId="14" state="hidden" r:id="rId26"/>
    <sheet name="Sala PCC " sheetId="39" state="hidden" r:id="rId27"/>
    <sheet name="A.HIDRO" sheetId="40" state="hidden" r:id="rId28"/>
    <sheet name="MANEJADORA DE AIRE" sheetId="50" state="hidden" r:id="rId29"/>
    <sheet name="C1 BSR1" sheetId="52" state="hidden" r:id="rId30"/>
    <sheet name="C1 BSR2" sheetId="53" state="hidden" r:id="rId31"/>
    <sheet name="BAÑOS" sheetId="56" state="hidden" r:id="rId32"/>
    <sheet name="PASILLOS" sheetId="54" state="hidden" r:id="rId3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43" l="1"/>
  <c r="L5" i="43"/>
  <c r="G49" i="43"/>
  <c r="H48" i="43"/>
  <c r="F74" i="57" l="1"/>
  <c r="E73" i="57"/>
  <c r="G73" i="57"/>
  <c r="F120" i="1" l="1"/>
  <c r="J114" i="1"/>
  <c r="J101" i="1"/>
  <c r="J109" i="1"/>
  <c r="H111" i="1"/>
  <c r="J104" i="1"/>
  <c r="J103" i="1"/>
  <c r="J105" i="1"/>
  <c r="J106" i="1"/>
  <c r="H46" i="43"/>
  <c r="H102" i="1"/>
  <c r="H103" i="1"/>
  <c r="H105" i="1"/>
  <c r="H109" i="1"/>
  <c r="H95" i="1"/>
  <c r="C99" i="1"/>
  <c r="D96" i="1"/>
  <c r="H96" i="1" s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52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3" i="1"/>
  <c r="D97" i="1" l="1"/>
  <c r="H108" i="1"/>
  <c r="H104" i="1"/>
  <c r="H107" i="1"/>
  <c r="H110" i="1"/>
  <c r="H106" i="1"/>
  <c r="H31" i="1"/>
  <c r="H97" i="1" l="1"/>
  <c r="D98" i="1"/>
  <c r="D85" i="43"/>
  <c r="D99" i="1" l="1"/>
  <c r="H98" i="1"/>
  <c r="C120" i="54"/>
  <c r="C106" i="54"/>
  <c r="C107" i="54" s="1"/>
  <c r="G107" i="54" s="1"/>
  <c r="D90" i="1"/>
  <c r="H90" i="1" s="1"/>
  <c r="B120" i="54" s="1"/>
  <c r="D116" i="54"/>
  <c r="E111" i="54"/>
  <c r="E110" i="54"/>
  <c r="E109" i="54"/>
  <c r="E108" i="54"/>
  <c r="E107" i="54"/>
  <c r="E106" i="54"/>
  <c r="G110" i="54"/>
  <c r="G106" i="54"/>
  <c r="H99" i="1" l="1"/>
  <c r="D100" i="1"/>
  <c r="I102" i="1"/>
  <c r="E120" i="54"/>
  <c r="F77" i="43" s="1"/>
  <c r="C112" i="54"/>
  <c r="C111" i="54" s="1"/>
  <c r="C108" i="54" s="1"/>
  <c r="C109" i="54" s="1"/>
  <c r="G109" i="54" s="1"/>
  <c r="D123" i="56"/>
  <c r="D105" i="56"/>
  <c r="D87" i="56"/>
  <c r="D69" i="56"/>
  <c r="D51" i="56"/>
  <c r="D33" i="56"/>
  <c r="C18" i="56"/>
  <c r="D15" i="56"/>
  <c r="E8" i="2"/>
  <c r="E63" i="56"/>
  <c r="E99" i="56"/>
  <c r="E98" i="56"/>
  <c r="E97" i="56"/>
  <c r="E96" i="56"/>
  <c r="E95" i="56"/>
  <c r="E115" i="56"/>
  <c r="E114" i="56"/>
  <c r="E113" i="56"/>
  <c r="D141" i="56"/>
  <c r="E131" i="56"/>
  <c r="D96" i="54"/>
  <c r="E90" i="54"/>
  <c r="E89" i="54"/>
  <c r="E88" i="54"/>
  <c r="E87" i="54"/>
  <c r="E86" i="54"/>
  <c r="D76" i="54"/>
  <c r="E71" i="54"/>
  <c r="E70" i="54"/>
  <c r="E69" i="54"/>
  <c r="E68" i="54"/>
  <c r="E67" i="54"/>
  <c r="E66" i="54"/>
  <c r="D56" i="54"/>
  <c r="E50" i="54"/>
  <c r="E49" i="54"/>
  <c r="E48" i="54"/>
  <c r="E47" i="54"/>
  <c r="E46" i="54"/>
  <c r="D40" i="54"/>
  <c r="E30" i="54"/>
  <c r="E29" i="54"/>
  <c r="E28" i="54"/>
  <c r="E27" i="54"/>
  <c r="E26" i="54"/>
  <c r="E10" i="54"/>
  <c r="E9" i="54"/>
  <c r="E8" i="54"/>
  <c r="E7" i="54"/>
  <c r="E6" i="54"/>
  <c r="C40" i="54"/>
  <c r="D36" i="54"/>
  <c r="D16" i="54"/>
  <c r="E8" i="53"/>
  <c r="E6" i="53"/>
  <c r="E7" i="52"/>
  <c r="F7" i="40"/>
  <c r="F9" i="40"/>
  <c r="E6" i="39"/>
  <c r="E10" i="14"/>
  <c r="E8" i="14"/>
  <c r="E6" i="14"/>
  <c r="E9" i="38"/>
  <c r="E6" i="38"/>
  <c r="E7" i="19"/>
  <c r="E6" i="19"/>
  <c r="E7" i="18"/>
  <c r="E6" i="18"/>
  <c r="E9" i="15"/>
  <c r="D16" i="12"/>
  <c r="E8" i="12"/>
  <c r="E7" i="12"/>
  <c r="D16" i="11"/>
  <c r="E8" i="11"/>
  <c r="E5" i="52"/>
  <c r="E6" i="52"/>
  <c r="E8" i="52"/>
  <c r="E9" i="52"/>
  <c r="E10" i="52"/>
  <c r="E11" i="52"/>
  <c r="E80" i="56"/>
  <c r="E82" i="56"/>
  <c r="E81" i="56"/>
  <c r="E79" i="56"/>
  <c r="E78" i="56"/>
  <c r="E77" i="56"/>
  <c r="E44" i="56"/>
  <c r="E26" i="56"/>
  <c r="E8" i="56"/>
  <c r="E62" i="56"/>
  <c r="E61" i="56"/>
  <c r="E60" i="56"/>
  <c r="E59" i="56"/>
  <c r="E45" i="56"/>
  <c r="E43" i="56"/>
  <c r="E42" i="56"/>
  <c r="E41" i="56"/>
  <c r="E27" i="56"/>
  <c r="E25" i="56"/>
  <c r="E24" i="56"/>
  <c r="E23" i="56"/>
  <c r="E9" i="56"/>
  <c r="E7" i="56"/>
  <c r="E6" i="56"/>
  <c r="E5" i="56"/>
  <c r="E7" i="11"/>
  <c r="E6" i="11"/>
  <c r="C20" i="54"/>
  <c r="E11" i="54"/>
  <c r="E31" i="54"/>
  <c r="E51" i="54"/>
  <c r="C60" i="54"/>
  <c r="C80" i="54"/>
  <c r="C100" i="54"/>
  <c r="E91" i="54"/>
  <c r="E9" i="45"/>
  <c r="E8" i="45"/>
  <c r="E9" i="46"/>
  <c r="E8" i="46"/>
  <c r="E7" i="46"/>
  <c r="E6" i="46"/>
  <c r="C144" i="56"/>
  <c r="E136" i="56"/>
  <c r="E135" i="56"/>
  <c r="E134" i="56"/>
  <c r="E133" i="56"/>
  <c r="E132" i="56"/>
  <c r="C126" i="56"/>
  <c r="E118" i="56"/>
  <c r="E117" i="56"/>
  <c r="E116" i="56"/>
  <c r="E100" i="56"/>
  <c r="C108" i="56"/>
  <c r="C90" i="56"/>
  <c r="C72" i="56"/>
  <c r="E64" i="56"/>
  <c r="C54" i="56"/>
  <c r="E46" i="56"/>
  <c r="C36" i="56"/>
  <c r="E28" i="56"/>
  <c r="E10" i="56"/>
  <c r="E9" i="53"/>
  <c r="B141" i="56"/>
  <c r="B123" i="56"/>
  <c r="B105" i="56"/>
  <c r="B87" i="56"/>
  <c r="B69" i="56"/>
  <c r="B51" i="56"/>
  <c r="B33" i="56"/>
  <c r="B36" i="54"/>
  <c r="B16" i="54"/>
  <c r="B96" i="54"/>
  <c r="F96" i="54" s="1"/>
  <c r="B76" i="54"/>
  <c r="B56" i="54"/>
  <c r="B15" i="56"/>
  <c r="B16" i="53"/>
  <c r="B15" i="52"/>
  <c r="B16" i="39"/>
  <c r="B16" i="14"/>
  <c r="B16" i="38"/>
  <c r="B16" i="19"/>
  <c r="B16" i="18"/>
  <c r="B16" i="17"/>
  <c r="B16" i="16"/>
  <c r="B16" i="15"/>
  <c r="B16" i="13"/>
  <c r="B16" i="12"/>
  <c r="B16" i="11"/>
  <c r="B16" i="46"/>
  <c r="B16" i="45"/>
  <c r="B16" i="10"/>
  <c r="B16" i="9"/>
  <c r="B16" i="8"/>
  <c r="B16" i="7"/>
  <c r="C16" i="6"/>
  <c r="B16" i="5"/>
  <c r="B16" i="4"/>
  <c r="B16" i="3"/>
  <c r="B16" i="2"/>
  <c r="C28" i="54"/>
  <c r="C6" i="54"/>
  <c r="G67" i="54"/>
  <c r="G68" i="54"/>
  <c r="G69" i="54"/>
  <c r="G70" i="54"/>
  <c r="G71" i="54"/>
  <c r="G92" i="54"/>
  <c r="D89" i="1"/>
  <c r="C92" i="54"/>
  <c r="C91" i="54"/>
  <c r="C86" i="54"/>
  <c r="C88" i="54"/>
  <c r="H100" i="1" l="1"/>
  <c r="D101" i="1"/>
  <c r="H101" i="1" s="1"/>
  <c r="G112" i="54"/>
  <c r="C116" i="54"/>
  <c r="F116" i="54" s="1"/>
  <c r="E77" i="43" s="1"/>
  <c r="G111" i="54"/>
  <c r="G108" i="54"/>
  <c r="G113" i="54"/>
  <c r="D77" i="43" s="1"/>
  <c r="G77" i="43" s="1"/>
  <c r="H77" i="43" s="1"/>
  <c r="C96" i="54"/>
  <c r="E76" i="43" s="1"/>
  <c r="G90" i="54"/>
  <c r="C89" i="54"/>
  <c r="G89" i="54" s="1"/>
  <c r="G88" i="54"/>
  <c r="C87" i="54"/>
  <c r="G87" i="54" s="1"/>
  <c r="G86" i="54"/>
  <c r="C72" i="54"/>
  <c r="C32" i="54"/>
  <c r="C31" i="54" s="1"/>
  <c r="C52" i="54"/>
  <c r="C51" i="54" s="1"/>
  <c r="C47" i="54"/>
  <c r="C49" i="54"/>
  <c r="B40" i="54"/>
  <c r="E40" i="54" s="1"/>
  <c r="C29" i="54"/>
  <c r="C27" i="54"/>
  <c r="C12" i="54"/>
  <c r="C11" i="54" s="1"/>
  <c r="H87" i="1"/>
  <c r="B60" i="54" s="1"/>
  <c r="H88" i="1"/>
  <c r="H89" i="1"/>
  <c r="B100" i="54" s="1"/>
  <c r="H86" i="1"/>
  <c r="H85" i="1"/>
  <c r="B20" i="54" s="1"/>
  <c r="E20" i="54" s="1"/>
  <c r="C7" i="54"/>
  <c r="C9" i="54"/>
  <c r="C8" i="54"/>
  <c r="C70" i="54"/>
  <c r="C69" i="54"/>
  <c r="C68" i="54"/>
  <c r="C67" i="54"/>
  <c r="C66" i="54"/>
  <c r="G66" i="54" s="1"/>
  <c r="G52" i="54"/>
  <c r="G50" i="54"/>
  <c r="G49" i="54"/>
  <c r="G48" i="54"/>
  <c r="G47" i="54"/>
  <c r="G46" i="54"/>
  <c r="G32" i="54"/>
  <c r="G30" i="54"/>
  <c r="G29" i="54"/>
  <c r="G28" i="54"/>
  <c r="G27" i="54"/>
  <c r="G26" i="54"/>
  <c r="C137" i="56"/>
  <c r="G78" i="1"/>
  <c r="G77" i="1"/>
  <c r="B144" i="56" s="1"/>
  <c r="C134" i="56"/>
  <c r="C131" i="56"/>
  <c r="C133" i="56"/>
  <c r="C132" i="56"/>
  <c r="C119" i="56"/>
  <c r="G119" i="56" s="1"/>
  <c r="G75" i="1"/>
  <c r="B126" i="56" s="1"/>
  <c r="E126" i="56" s="1"/>
  <c r="F70" i="43" s="1"/>
  <c r="F71" i="43" s="1"/>
  <c r="G76" i="1"/>
  <c r="C115" i="56"/>
  <c r="C116" i="56" s="1"/>
  <c r="C118" i="56"/>
  <c r="C114" i="56"/>
  <c r="C113" i="56"/>
  <c r="C97" i="56"/>
  <c r="C95" i="56"/>
  <c r="C101" i="56"/>
  <c r="C98" i="56"/>
  <c r="C96" i="56"/>
  <c r="C80" i="56"/>
  <c r="C79" i="56"/>
  <c r="C77" i="56"/>
  <c r="C83" i="56"/>
  <c r="C78" i="56"/>
  <c r="C65" i="56"/>
  <c r="C64" i="56" s="1"/>
  <c r="C59" i="56"/>
  <c r="C61" i="56"/>
  <c r="C60" i="56"/>
  <c r="C62" i="56"/>
  <c r="C43" i="56"/>
  <c r="C44" i="56"/>
  <c r="C42" i="56"/>
  <c r="C41" i="56"/>
  <c r="C46" i="56"/>
  <c r="C47" i="56"/>
  <c r="G71" i="1"/>
  <c r="B54" i="56" s="1"/>
  <c r="E54" i="56" s="1"/>
  <c r="G72" i="1"/>
  <c r="G73" i="1"/>
  <c r="G74" i="1"/>
  <c r="C36" i="54" l="1"/>
  <c r="F36" i="54" s="1"/>
  <c r="C56" i="54"/>
  <c r="F56" i="54"/>
  <c r="E74" i="43" s="1"/>
  <c r="E100" i="54"/>
  <c r="F76" i="43" s="1"/>
  <c r="C82" i="56"/>
  <c r="G83" i="56"/>
  <c r="E60" i="54"/>
  <c r="F74" i="43" s="1"/>
  <c r="C100" i="56"/>
  <c r="G101" i="56"/>
  <c r="C136" i="56"/>
  <c r="G137" i="56"/>
  <c r="B80" i="54"/>
  <c r="E80" i="54" s="1"/>
  <c r="F75" i="43" s="1"/>
  <c r="C76" i="54"/>
  <c r="G72" i="54"/>
  <c r="G73" i="54" s="1"/>
  <c r="D75" i="43" s="1"/>
  <c r="G91" i="54"/>
  <c r="G93" i="54" s="1"/>
  <c r="D76" i="43" s="1"/>
  <c r="G51" i="54"/>
  <c r="G53" i="54" s="1"/>
  <c r="D74" i="43" s="1"/>
  <c r="G31" i="54"/>
  <c r="G33" i="54" s="1"/>
  <c r="D73" i="43" s="1"/>
  <c r="E73" i="43"/>
  <c r="F63" i="43"/>
  <c r="F65" i="43"/>
  <c r="F62" i="43"/>
  <c r="F64" i="43"/>
  <c r="F73" i="43"/>
  <c r="C29" i="56"/>
  <c r="C28" i="56"/>
  <c r="C26" i="56"/>
  <c r="C24" i="56"/>
  <c r="C23" i="56"/>
  <c r="C25" i="56"/>
  <c r="C11" i="56"/>
  <c r="C10" i="56"/>
  <c r="C8" i="56"/>
  <c r="C7" i="56"/>
  <c r="C6" i="56"/>
  <c r="C5" i="56"/>
  <c r="F76" i="54" l="1"/>
  <c r="E75" i="43" s="1"/>
  <c r="G75" i="43" s="1"/>
  <c r="H75" i="43" s="1"/>
  <c r="G74" i="43"/>
  <c r="H74" i="43" s="1"/>
  <c r="G76" i="43"/>
  <c r="H76" i="43" s="1"/>
  <c r="G73" i="43"/>
  <c r="E144" i="56"/>
  <c r="H73" i="43" l="1"/>
  <c r="D187" i="56"/>
  <c r="D188" i="56" s="1"/>
  <c r="D192" i="56" s="1"/>
  <c r="G192" i="56" s="1"/>
  <c r="D185" i="56"/>
  <c r="D184" i="56"/>
  <c r="D182" i="56"/>
  <c r="D183" i="56" s="1"/>
  <c r="D169" i="56"/>
  <c r="D167" i="56"/>
  <c r="D165" i="56"/>
  <c r="D166" i="56"/>
  <c r="H220" i="56" s="1"/>
  <c r="D164" i="56"/>
  <c r="D170" i="56"/>
  <c r="E137" i="56"/>
  <c r="C141" i="56"/>
  <c r="F123" i="56" s="1"/>
  <c r="E70" i="43" s="1"/>
  <c r="E71" i="43" s="1"/>
  <c r="E119" i="56"/>
  <c r="C123" i="56"/>
  <c r="E101" i="56"/>
  <c r="C105" i="56"/>
  <c r="F105" i="56" s="1"/>
  <c r="E69" i="43" s="1"/>
  <c r="E83" i="56"/>
  <c r="C87" i="56"/>
  <c r="F87" i="56" s="1"/>
  <c r="C69" i="56"/>
  <c r="F69" i="56" s="1"/>
  <c r="E66" i="43" s="1"/>
  <c r="E47" i="56"/>
  <c r="C51" i="56"/>
  <c r="F51" i="56" s="1"/>
  <c r="E29" i="56"/>
  <c r="C33" i="56"/>
  <c r="F33" i="56" s="1"/>
  <c r="E11" i="56"/>
  <c r="C15" i="56"/>
  <c r="C213" i="56"/>
  <c r="F213" i="56" s="1"/>
  <c r="G206" i="56"/>
  <c r="F206" i="56"/>
  <c r="D210" i="56"/>
  <c r="G205" i="56"/>
  <c r="F205" i="56"/>
  <c r="G204" i="56"/>
  <c r="F204" i="56"/>
  <c r="G203" i="56"/>
  <c r="G202" i="56"/>
  <c r="G201" i="56"/>
  <c r="F201" i="56"/>
  <c r="G200" i="56"/>
  <c r="D174" i="56"/>
  <c r="H221" i="56"/>
  <c r="F165" i="56"/>
  <c r="C10" i="52"/>
  <c r="C11" i="52"/>
  <c r="B52" i="1"/>
  <c r="H82" i="1"/>
  <c r="B20" i="53" s="1"/>
  <c r="H81" i="1"/>
  <c r="B18" i="52" s="1"/>
  <c r="G53" i="1"/>
  <c r="C195" i="56" s="1"/>
  <c r="F195" i="56" s="1"/>
  <c r="G54" i="1"/>
  <c r="G55" i="1"/>
  <c r="G56" i="1"/>
  <c r="G57" i="1"/>
  <c r="G58" i="1"/>
  <c r="G59" i="1"/>
  <c r="B18" i="56" s="1"/>
  <c r="E18" i="56" s="1"/>
  <c r="G60" i="1"/>
  <c r="G61" i="1"/>
  <c r="B36" i="56" s="1"/>
  <c r="E36" i="56" s="1"/>
  <c r="G62" i="1"/>
  <c r="G63" i="1"/>
  <c r="B72" i="56" s="1"/>
  <c r="E72" i="56" s="1"/>
  <c r="F66" i="43" s="1"/>
  <c r="G64" i="1"/>
  <c r="G65" i="1"/>
  <c r="B90" i="56" s="1"/>
  <c r="E90" i="56" s="1"/>
  <c r="G66" i="1"/>
  <c r="G67" i="1"/>
  <c r="G68" i="1"/>
  <c r="G69" i="1"/>
  <c r="B108" i="56" s="1"/>
  <c r="E108" i="56" s="1"/>
  <c r="F69" i="43" s="1"/>
  <c r="G70" i="1"/>
  <c r="G52" i="1"/>
  <c r="C177" i="56" s="1"/>
  <c r="F177" i="56" s="1"/>
  <c r="C12" i="53"/>
  <c r="F68" i="43" l="1"/>
  <c r="F67" i="43"/>
  <c r="F61" i="43"/>
  <c r="F60" i="43"/>
  <c r="E67" i="43"/>
  <c r="E68" i="43"/>
  <c r="F59" i="43"/>
  <c r="F58" i="43"/>
  <c r="E60" i="43"/>
  <c r="E61" i="43"/>
  <c r="E64" i="43"/>
  <c r="E62" i="43"/>
  <c r="E63" i="43"/>
  <c r="E65" i="43"/>
  <c r="G210" i="56"/>
  <c r="F15" i="56"/>
  <c r="F141" i="56"/>
  <c r="G174" i="56"/>
  <c r="G23" i="56"/>
  <c r="H256" i="56"/>
  <c r="H222" i="56"/>
  <c r="G7" i="56"/>
  <c r="H223" i="56"/>
  <c r="G79" i="56"/>
  <c r="H241" i="56"/>
  <c r="G46" i="56"/>
  <c r="G133" i="56"/>
  <c r="G80" i="56"/>
  <c r="G117" i="56"/>
  <c r="G134" i="56"/>
  <c r="H239" i="56"/>
  <c r="G8" i="56"/>
  <c r="G25" i="56"/>
  <c r="G27" i="56"/>
  <c r="G44" i="56"/>
  <c r="G61" i="56"/>
  <c r="G6" i="56"/>
  <c r="G78" i="56"/>
  <c r="G45" i="56"/>
  <c r="G114" i="56"/>
  <c r="G115" i="56"/>
  <c r="H240" i="56"/>
  <c r="H238" i="56"/>
  <c r="H257" i="56"/>
  <c r="G29" i="56"/>
  <c r="G43" i="56"/>
  <c r="G62" i="56"/>
  <c r="G95" i="56"/>
  <c r="G97" i="56"/>
  <c r="G99" i="56"/>
  <c r="G116" i="56"/>
  <c r="H255" i="56"/>
  <c r="G5" i="56"/>
  <c r="G11" i="56"/>
  <c r="G28" i="56"/>
  <c r="G60" i="56"/>
  <c r="G77" i="56"/>
  <c r="G100" i="56"/>
  <c r="G132" i="56"/>
  <c r="H219" i="56"/>
  <c r="H237" i="56"/>
  <c r="H254" i="56"/>
  <c r="H260" i="56"/>
  <c r="G9" i="56"/>
  <c r="G10" i="56"/>
  <c r="G42" i="56"/>
  <c r="G59" i="56"/>
  <c r="G65" i="56"/>
  <c r="G81" i="56"/>
  <c r="G82" i="56"/>
  <c r="G131" i="56"/>
  <c r="H218" i="56"/>
  <c r="H224" i="56"/>
  <c r="H236" i="56"/>
  <c r="H242" i="56"/>
  <c r="H258" i="56"/>
  <c r="H259" i="56"/>
  <c r="G24" i="56"/>
  <c r="G26" i="56"/>
  <c r="G41" i="56"/>
  <c r="G47" i="56"/>
  <c r="G63" i="56"/>
  <c r="G64" i="56"/>
  <c r="G96" i="56"/>
  <c r="G98" i="56"/>
  <c r="G113" i="56"/>
  <c r="G118" i="56"/>
  <c r="G135" i="56"/>
  <c r="G136" i="56"/>
  <c r="C16" i="54"/>
  <c r="G12" i="54"/>
  <c r="G11" i="54"/>
  <c r="G10" i="54"/>
  <c r="G9" i="54"/>
  <c r="G8" i="54"/>
  <c r="G7" i="54"/>
  <c r="G6" i="54"/>
  <c r="C15" i="52"/>
  <c r="G8" i="53"/>
  <c r="G9" i="53"/>
  <c r="C10" i="53"/>
  <c r="C8" i="53"/>
  <c r="C9" i="53"/>
  <c r="C6" i="53"/>
  <c r="C20" i="53"/>
  <c r="D16" i="53"/>
  <c r="C16" i="53"/>
  <c r="G12" i="53"/>
  <c r="E12" i="53"/>
  <c r="E11" i="53"/>
  <c r="G11" i="53"/>
  <c r="E10" i="53"/>
  <c r="G10" i="53" s="1"/>
  <c r="E7" i="53"/>
  <c r="G7" i="53" s="1"/>
  <c r="C7" i="53"/>
  <c r="G6" i="53"/>
  <c r="B53" i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C5" i="52"/>
  <c r="C6" i="52"/>
  <c r="C9" i="52"/>
  <c r="C7" i="52"/>
  <c r="G7" i="52" s="1"/>
  <c r="C8" i="52"/>
  <c r="G8" i="52" s="1"/>
  <c r="C18" i="52"/>
  <c r="D15" i="52"/>
  <c r="G11" i="52"/>
  <c r="C9" i="50"/>
  <c r="C2" i="50"/>
  <c r="E59" i="43" l="1"/>
  <c r="E58" i="43"/>
  <c r="B81" i="1"/>
  <c r="B82" i="1" s="1"/>
  <c r="B71" i="1"/>
  <c r="B72" i="1" s="1"/>
  <c r="B73" i="1" s="1"/>
  <c r="B74" i="1" s="1"/>
  <c r="B85" i="1" s="1"/>
  <c r="B86" i="1" s="1"/>
  <c r="B87" i="1" s="1"/>
  <c r="B88" i="1" s="1"/>
  <c r="B89" i="1" s="1"/>
  <c r="B90" i="1" s="1"/>
  <c r="G6" i="52"/>
  <c r="H225" i="56"/>
  <c r="H261" i="56"/>
  <c r="G120" i="56"/>
  <c r="D70" i="43" s="1"/>
  <c r="G102" i="56"/>
  <c r="D69" i="43" s="1"/>
  <c r="G69" i="43" s="1"/>
  <c r="H69" i="43" s="1"/>
  <c r="G138" i="56"/>
  <c r="G48" i="56"/>
  <c r="H243" i="56"/>
  <c r="G84" i="56"/>
  <c r="G12" i="56"/>
  <c r="G30" i="56"/>
  <c r="G66" i="56"/>
  <c r="D66" i="43" s="1"/>
  <c r="G66" i="43" s="1"/>
  <c r="H66" i="43" s="1"/>
  <c r="G9" i="52"/>
  <c r="G5" i="52"/>
  <c r="G13" i="54"/>
  <c r="D72" i="43" s="1"/>
  <c r="F72" i="43"/>
  <c r="G13" i="53"/>
  <c r="D57" i="43" s="1"/>
  <c r="G10" i="52"/>
  <c r="C6" i="50"/>
  <c r="G12" i="52" l="1"/>
  <c r="D56" i="43" s="1"/>
  <c r="D71" i="43"/>
  <c r="G71" i="43" s="1"/>
  <c r="H71" i="43" s="1"/>
  <c r="G70" i="43"/>
  <c r="H70" i="43" s="1"/>
  <c r="D60" i="43"/>
  <c r="G60" i="43" s="1"/>
  <c r="H60" i="43" s="1"/>
  <c r="D61" i="43"/>
  <c r="G61" i="43" s="1"/>
  <c r="H61" i="43" s="1"/>
  <c r="D64" i="43"/>
  <c r="G64" i="43" s="1"/>
  <c r="H64" i="43" s="1"/>
  <c r="D63" i="43"/>
  <c r="G63" i="43" s="1"/>
  <c r="H63" i="43" s="1"/>
  <c r="D65" i="43"/>
  <c r="G65" i="43" s="1"/>
  <c r="H65" i="43" s="1"/>
  <c r="D62" i="43"/>
  <c r="G62" i="43" s="1"/>
  <c r="H62" i="43" s="1"/>
  <c r="D68" i="43"/>
  <c r="G68" i="43" s="1"/>
  <c r="H68" i="43" s="1"/>
  <c r="D67" i="43"/>
  <c r="G67" i="43" s="1"/>
  <c r="H67" i="43" s="1"/>
  <c r="D59" i="43"/>
  <c r="G59" i="43" s="1"/>
  <c r="H59" i="43" s="1"/>
  <c r="D58" i="43"/>
  <c r="G58" i="43" s="1"/>
  <c r="H58" i="43" s="1"/>
  <c r="C13" i="50"/>
  <c r="C7" i="50"/>
  <c r="E3" i="50"/>
  <c r="D78" i="43" l="1"/>
  <c r="E5" i="50"/>
  <c r="C14" i="50"/>
  <c r="C18" i="50"/>
  <c r="D89" i="40" l="1"/>
  <c r="D87" i="40" s="1"/>
  <c r="D84" i="40" l="1"/>
  <c r="D86" i="40" s="1"/>
  <c r="D67" i="40" l="1"/>
  <c r="D40" i="40" l="1"/>
  <c r="D44" i="40" s="1"/>
  <c r="D46" i="40" s="1"/>
  <c r="E11" i="47" l="1"/>
  <c r="D10" i="47" l="1"/>
  <c r="D9" i="47"/>
  <c r="D8" i="47"/>
  <c r="C5" i="47"/>
  <c r="C12" i="45" l="1"/>
  <c r="C16" i="45" s="1"/>
  <c r="C11" i="46"/>
  <c r="C16" i="46"/>
  <c r="C10" i="46"/>
  <c r="C9" i="46"/>
  <c r="C8" i="46"/>
  <c r="D20" i="46"/>
  <c r="C20" i="46"/>
  <c r="E16" i="46"/>
  <c r="D16" i="46"/>
  <c r="F12" i="46"/>
  <c r="E12" i="46"/>
  <c r="G12" i="46" s="1"/>
  <c r="F11" i="46"/>
  <c r="E11" i="46"/>
  <c r="F10" i="46"/>
  <c r="E10" i="46"/>
  <c r="G10" i="46" s="1"/>
  <c r="G9" i="46"/>
  <c r="F9" i="46"/>
  <c r="F8" i="46"/>
  <c r="G8" i="46" s="1"/>
  <c r="F7" i="46"/>
  <c r="G7" i="46"/>
  <c r="F6" i="46"/>
  <c r="G6" i="46"/>
  <c r="H47" i="1"/>
  <c r="B20" i="46" s="1"/>
  <c r="D49" i="1"/>
  <c r="H48" i="1"/>
  <c r="E7" i="45"/>
  <c r="G7" i="45" s="1"/>
  <c r="E6" i="45"/>
  <c r="G9" i="45"/>
  <c r="E10" i="45"/>
  <c r="G10" i="45" s="1"/>
  <c r="E11" i="45"/>
  <c r="E12" i="45"/>
  <c r="C9" i="45"/>
  <c r="C8" i="45"/>
  <c r="C7" i="45"/>
  <c r="C6" i="45"/>
  <c r="C10" i="45"/>
  <c r="C11" i="45"/>
  <c r="G11" i="45" s="1"/>
  <c r="D20" i="45"/>
  <c r="C20" i="45"/>
  <c r="D16" i="45"/>
  <c r="G12" i="45"/>
  <c r="F12" i="45"/>
  <c r="F11" i="45"/>
  <c r="F10" i="45"/>
  <c r="F9" i="45"/>
  <c r="G8" i="45"/>
  <c r="F8" i="45"/>
  <c r="F7" i="45"/>
  <c r="F6" i="45"/>
  <c r="G51" i="40"/>
  <c r="G52" i="40"/>
  <c r="G53" i="40"/>
  <c r="G54" i="40"/>
  <c r="G50" i="40"/>
  <c r="F51" i="40"/>
  <c r="F52" i="40"/>
  <c r="F53" i="40"/>
  <c r="F54" i="40"/>
  <c r="E50" i="40"/>
  <c r="F50" i="40" s="1"/>
  <c r="D9" i="40"/>
  <c r="D8" i="40"/>
  <c r="D7" i="40"/>
  <c r="D6" i="40"/>
  <c r="D10" i="40"/>
  <c r="D50" i="40"/>
  <c r="D51" i="40"/>
  <c r="D54" i="40"/>
  <c r="D53" i="40"/>
  <c r="D52" i="40"/>
  <c r="B20" i="45" l="1"/>
  <c r="J48" i="1"/>
  <c r="G11" i="46"/>
  <c r="G13" i="46" s="1"/>
  <c r="D47" i="43" s="1"/>
  <c r="G6" i="45"/>
  <c r="G13" i="45" s="1"/>
  <c r="D48" i="43" s="1"/>
  <c r="H51" i="40"/>
  <c r="H52" i="40"/>
  <c r="H50" i="40"/>
  <c r="H53" i="40"/>
  <c r="H54" i="40"/>
  <c r="D26" i="40"/>
  <c r="D24" i="40"/>
  <c r="D23" i="40"/>
  <c r="D28" i="40" l="1"/>
  <c r="D29" i="40" s="1"/>
  <c r="H55" i="40"/>
  <c r="D60" i="40" s="1"/>
  <c r="D25" i="40"/>
  <c r="D27" i="40"/>
  <c r="G24" i="40" s="1"/>
  <c r="C12" i="13"/>
  <c r="H7" i="1"/>
  <c r="H9" i="1"/>
  <c r="H13" i="1"/>
  <c r="H14" i="1"/>
  <c r="H15" i="1"/>
  <c r="H16" i="1"/>
  <c r="H17" i="1"/>
  <c r="H18" i="1"/>
  <c r="H19" i="1"/>
  <c r="H20" i="1"/>
  <c r="H21" i="1"/>
  <c r="H22" i="1"/>
  <c r="H24" i="1"/>
  <c r="H25" i="1"/>
  <c r="H26" i="1"/>
  <c r="H27" i="1"/>
  <c r="H28" i="1"/>
  <c r="H29" i="1"/>
  <c r="H30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C20" i="40" s="1"/>
  <c r="H3" i="1"/>
  <c r="D59" i="40" l="1"/>
  <c r="D12" i="40"/>
  <c r="D16" i="40" s="1"/>
  <c r="G34" i="40" s="1"/>
  <c r="H34" i="40" s="1"/>
  <c r="D20" i="40"/>
  <c r="E16" i="40"/>
  <c r="F12" i="40"/>
  <c r="F11" i="40"/>
  <c r="F10" i="40"/>
  <c r="F8" i="40"/>
  <c r="F6" i="40"/>
  <c r="F12" i="39"/>
  <c r="F11" i="39"/>
  <c r="F10" i="39"/>
  <c r="F9" i="39"/>
  <c r="F8" i="39"/>
  <c r="F7" i="39"/>
  <c r="F6" i="39"/>
  <c r="E16" i="39"/>
  <c r="D20" i="39"/>
  <c r="D20" i="38"/>
  <c r="E16" i="38"/>
  <c r="F12" i="38"/>
  <c r="F11" i="38"/>
  <c r="F10" i="38"/>
  <c r="F9" i="38"/>
  <c r="F8" i="38"/>
  <c r="F7" i="38"/>
  <c r="F6" i="38"/>
  <c r="F12" i="19"/>
  <c r="F11" i="19"/>
  <c r="F10" i="19"/>
  <c r="F9" i="19"/>
  <c r="F8" i="19"/>
  <c r="F7" i="19"/>
  <c r="F6" i="19"/>
  <c r="E16" i="19"/>
  <c r="D20" i="19"/>
  <c r="E9" i="18"/>
  <c r="E12" i="18"/>
  <c r="B20" i="18"/>
  <c r="C20" i="18"/>
  <c r="D16" i="18"/>
  <c r="F12" i="18"/>
  <c r="F11" i="18"/>
  <c r="F10" i="18"/>
  <c r="F9" i="18"/>
  <c r="F8" i="18"/>
  <c r="F7" i="18"/>
  <c r="F6" i="18"/>
  <c r="E16" i="18"/>
  <c r="D20" i="18"/>
  <c r="D24" i="17"/>
  <c r="D20" i="17"/>
  <c r="E16" i="17"/>
  <c r="F12" i="17"/>
  <c r="F11" i="17"/>
  <c r="F10" i="17"/>
  <c r="F9" i="17"/>
  <c r="F8" i="17"/>
  <c r="F7" i="17"/>
  <c r="F6" i="17"/>
  <c r="F12" i="16"/>
  <c r="F11" i="16"/>
  <c r="F10" i="16"/>
  <c r="F9" i="16"/>
  <c r="F8" i="16"/>
  <c r="F7" i="16"/>
  <c r="F6" i="16"/>
  <c r="D20" i="16"/>
  <c r="E16" i="16"/>
  <c r="D20" i="15"/>
  <c r="E16" i="15"/>
  <c r="F12" i="15"/>
  <c r="F11" i="15"/>
  <c r="F10" i="15"/>
  <c r="F9" i="15"/>
  <c r="F8" i="15"/>
  <c r="F7" i="15"/>
  <c r="F6" i="15"/>
  <c r="C20" i="13"/>
  <c r="D16" i="13"/>
  <c r="F12" i="13"/>
  <c r="F11" i="13"/>
  <c r="F10" i="13"/>
  <c r="F9" i="13"/>
  <c r="F7" i="13"/>
  <c r="F8" i="13"/>
  <c r="F6" i="13"/>
  <c r="E16" i="13"/>
  <c r="D20" i="13"/>
  <c r="C20" i="12"/>
  <c r="E11" i="12"/>
  <c r="C20" i="11"/>
  <c r="D20" i="12"/>
  <c r="E16" i="12"/>
  <c r="F12" i="12"/>
  <c r="F11" i="12"/>
  <c r="F10" i="12"/>
  <c r="F9" i="12"/>
  <c r="F8" i="12"/>
  <c r="F7" i="12"/>
  <c r="F6" i="12"/>
  <c r="F12" i="11"/>
  <c r="F11" i="11"/>
  <c r="F10" i="11"/>
  <c r="F9" i="11"/>
  <c r="F8" i="11"/>
  <c r="F7" i="11"/>
  <c r="F6" i="11"/>
  <c r="E16" i="11"/>
  <c r="D20" i="11"/>
  <c r="D20" i="10"/>
  <c r="E16" i="10"/>
  <c r="F12" i="10"/>
  <c r="F11" i="10"/>
  <c r="F10" i="10"/>
  <c r="F9" i="10"/>
  <c r="F8" i="10"/>
  <c r="F7" i="10"/>
  <c r="F6" i="10"/>
  <c r="D24" i="9"/>
  <c r="D20" i="9"/>
  <c r="E16" i="9"/>
  <c r="F12" i="9"/>
  <c r="F11" i="9"/>
  <c r="F10" i="9"/>
  <c r="F9" i="9"/>
  <c r="F8" i="9"/>
  <c r="F7" i="9"/>
  <c r="F6" i="9"/>
  <c r="D20" i="8"/>
  <c r="E16" i="8"/>
  <c r="F12" i="8"/>
  <c r="F11" i="8"/>
  <c r="F10" i="8"/>
  <c r="F9" i="8"/>
  <c r="F7" i="8"/>
  <c r="F8" i="8"/>
  <c r="F6" i="8"/>
  <c r="D20" i="7"/>
  <c r="E16" i="7"/>
  <c r="F12" i="7"/>
  <c r="F11" i="7"/>
  <c r="F10" i="7"/>
  <c r="F9" i="7"/>
  <c r="F8" i="7"/>
  <c r="F7" i="7"/>
  <c r="F6" i="7"/>
  <c r="E20" i="6"/>
  <c r="F16" i="6"/>
  <c r="G12" i="6"/>
  <c r="G11" i="6"/>
  <c r="G10" i="6"/>
  <c r="G9" i="6"/>
  <c r="G8" i="6"/>
  <c r="G7" i="6"/>
  <c r="G6" i="6"/>
  <c r="D20" i="5"/>
  <c r="E16" i="5"/>
  <c r="F12" i="5"/>
  <c r="F11" i="5"/>
  <c r="F10" i="5"/>
  <c r="F9" i="5"/>
  <c r="F8" i="5"/>
  <c r="F7" i="5"/>
  <c r="F6" i="5"/>
  <c r="D20" i="4"/>
  <c r="E16" i="4"/>
  <c r="F12" i="4"/>
  <c r="F11" i="4"/>
  <c r="F10" i="4"/>
  <c r="F9" i="4"/>
  <c r="F8" i="4"/>
  <c r="F7" i="4"/>
  <c r="F6" i="4"/>
  <c r="D20" i="3"/>
  <c r="E16" i="3"/>
  <c r="F12" i="3"/>
  <c r="F11" i="3"/>
  <c r="F10" i="3"/>
  <c r="F9" i="3"/>
  <c r="F8" i="3"/>
  <c r="F7" i="3"/>
  <c r="F6" i="3"/>
  <c r="D20" i="2"/>
  <c r="E16" i="2"/>
  <c r="F12" i="2"/>
  <c r="F11" i="2"/>
  <c r="F10" i="2"/>
  <c r="F9" i="2"/>
  <c r="F8" i="2"/>
  <c r="F7" i="2"/>
  <c r="F6" i="2"/>
  <c r="D20" i="14"/>
  <c r="E16" i="14"/>
  <c r="F12" i="14"/>
  <c r="F11" i="14"/>
  <c r="F10" i="14"/>
  <c r="F9" i="14"/>
  <c r="F8" i="14"/>
  <c r="F7" i="14"/>
  <c r="F6" i="14"/>
  <c r="E9" i="14"/>
  <c r="E7" i="14"/>
  <c r="E12" i="14"/>
  <c r="B20" i="14"/>
  <c r="D16" i="14"/>
  <c r="C20" i="14"/>
  <c r="B20" i="39"/>
  <c r="E8" i="39"/>
  <c r="E9" i="39"/>
  <c r="E12" i="39"/>
  <c r="D16" i="39"/>
  <c r="C20" i="39"/>
  <c r="B20" i="38"/>
  <c r="C20" i="38"/>
  <c r="D16" i="38"/>
  <c r="E7" i="38"/>
  <c r="E12" i="38"/>
  <c r="C20" i="19"/>
  <c r="E8" i="19"/>
  <c r="E12" i="19"/>
  <c r="B20" i="19"/>
  <c r="D16" i="19"/>
  <c r="D16" i="17"/>
  <c r="E9" i="17"/>
  <c r="E8" i="17"/>
  <c r="E6" i="17"/>
  <c r="E12" i="17"/>
  <c r="B24" i="17"/>
  <c r="B20" i="17"/>
  <c r="C24" i="17"/>
  <c r="C20" i="17"/>
  <c r="D16" i="16"/>
  <c r="C20" i="16"/>
  <c r="E9" i="16"/>
  <c r="E8" i="16"/>
  <c r="E7" i="16"/>
  <c r="E6" i="16"/>
  <c r="E12" i="16"/>
  <c r="B20" i="16"/>
  <c r="C20" i="15"/>
  <c r="D16" i="15"/>
  <c r="E8" i="15"/>
  <c r="E6" i="15"/>
  <c r="E12" i="15"/>
  <c r="B20" i="15"/>
  <c r="E6" i="12"/>
  <c r="B20" i="12"/>
  <c r="E12" i="12"/>
  <c r="E9" i="13"/>
  <c r="E8" i="13"/>
  <c r="E6" i="13"/>
  <c r="E7" i="13"/>
  <c r="B20" i="13"/>
  <c r="E12" i="13"/>
  <c r="B20" i="11"/>
  <c r="E12" i="11"/>
  <c r="B20" i="10"/>
  <c r="E9" i="10"/>
  <c r="E12" i="10"/>
  <c r="E12" i="9"/>
  <c r="B20" i="9"/>
  <c r="C24" i="9"/>
  <c r="E7" i="7"/>
  <c r="E9" i="9"/>
  <c r="E8" i="9"/>
  <c r="F7" i="6"/>
  <c r="F6" i="6"/>
  <c r="E7" i="5"/>
  <c r="E6" i="5"/>
  <c r="E7" i="4"/>
  <c r="B20" i="8"/>
  <c r="E7" i="8"/>
  <c r="E8" i="8"/>
  <c r="E12" i="8"/>
  <c r="B20" i="7"/>
  <c r="E12" i="7"/>
  <c r="B20" i="4"/>
  <c r="B20" i="5"/>
  <c r="C20" i="6"/>
  <c r="F12" i="6"/>
  <c r="E12" i="5"/>
  <c r="E12" i="4"/>
  <c r="E12" i="2"/>
  <c r="E12" i="3"/>
  <c r="B20" i="3"/>
  <c r="E6" i="2"/>
  <c r="B20" i="2"/>
  <c r="E26" i="20"/>
  <c r="D24" i="20"/>
  <c r="D26" i="20" s="1"/>
  <c r="C24" i="20"/>
  <c r="C26" i="20" s="1"/>
  <c r="F20" i="20"/>
  <c r="F26" i="20" s="1"/>
  <c r="B16" i="20"/>
  <c r="B17" i="20" s="1"/>
  <c r="B18" i="20" s="1"/>
  <c r="B19" i="20" s="1"/>
  <c r="B20" i="20" s="1"/>
  <c r="B21" i="20" s="1"/>
  <c r="B22" i="20" s="1"/>
  <c r="B23" i="20" s="1"/>
  <c r="B24" i="20" s="1"/>
  <c r="B25" i="20" s="1"/>
  <c r="H6" i="40" l="1"/>
  <c r="H8" i="40"/>
  <c r="H10" i="40"/>
  <c r="H7" i="40"/>
  <c r="H9" i="40"/>
  <c r="D11" i="40"/>
  <c r="H12" i="40"/>
  <c r="H11" i="40"/>
  <c r="E7" i="2"/>
  <c r="E9" i="2"/>
  <c r="E6" i="3"/>
  <c r="E7" i="3"/>
  <c r="C8" i="14"/>
  <c r="C6" i="14"/>
  <c r="C10" i="14"/>
  <c r="C10" i="39"/>
  <c r="C9" i="39"/>
  <c r="C6" i="39"/>
  <c r="C8" i="39"/>
  <c r="C7" i="39"/>
  <c r="C8" i="12"/>
  <c r="C10" i="12"/>
  <c r="C6" i="9"/>
  <c r="C7" i="9"/>
  <c r="C10" i="9"/>
  <c r="C10" i="8"/>
  <c r="H13" i="40" l="1"/>
  <c r="D58" i="40" s="1"/>
  <c r="C7" i="14"/>
  <c r="C9" i="14"/>
  <c r="C10" i="38"/>
  <c r="C9" i="38"/>
  <c r="C8" i="38"/>
  <c r="C6" i="38"/>
  <c r="C7" i="38"/>
  <c r="C7" i="19"/>
  <c r="C6" i="19"/>
  <c r="C10" i="19"/>
  <c r="C9" i="19"/>
  <c r="C8" i="19"/>
  <c r="C6" i="18"/>
  <c r="C7" i="18"/>
  <c r="C10" i="18"/>
  <c r="C9" i="18"/>
  <c r="C8" i="18"/>
  <c r="C6" i="17"/>
  <c r="C7" i="17"/>
  <c r="C10" i="17"/>
  <c r="C9" i="17"/>
  <c r="C8" i="17"/>
  <c r="C12" i="39"/>
  <c r="C11" i="39" s="1"/>
  <c r="C12" i="38"/>
  <c r="C16" i="38" s="1"/>
  <c r="C12" i="19"/>
  <c r="C16" i="19" s="1"/>
  <c r="C12" i="18"/>
  <c r="C16" i="18" s="1"/>
  <c r="C12" i="17"/>
  <c r="C16" i="17" s="1"/>
  <c r="C7" i="16"/>
  <c r="C6" i="16"/>
  <c r="C10" i="16"/>
  <c r="C9" i="16"/>
  <c r="C8" i="16"/>
  <c r="C12" i="16"/>
  <c r="C11" i="16" s="1"/>
  <c r="C8" i="15"/>
  <c r="C7" i="15"/>
  <c r="C6" i="15"/>
  <c r="C10" i="15"/>
  <c r="C12" i="15"/>
  <c r="C16" i="15" s="1"/>
  <c r="C9" i="15"/>
  <c r="C12" i="14"/>
  <c r="C11" i="14" s="1"/>
  <c r="C7" i="13"/>
  <c r="C6" i="13"/>
  <c r="C10" i="13"/>
  <c r="C11" i="13"/>
  <c r="C9" i="13"/>
  <c r="C8" i="13"/>
  <c r="C9" i="12"/>
  <c r="C6" i="12"/>
  <c r="C7" i="12" s="1"/>
  <c r="C12" i="12"/>
  <c r="C16" i="12" s="1"/>
  <c r="C6" i="11"/>
  <c r="C7" i="11"/>
  <c r="C8" i="11"/>
  <c r="C9" i="11"/>
  <c r="C12" i="2"/>
  <c r="C12" i="11"/>
  <c r="C11" i="11" s="1"/>
  <c r="C10" i="11"/>
  <c r="C9" i="10"/>
  <c r="C6" i="10"/>
  <c r="C7" i="10"/>
  <c r="C8" i="10"/>
  <c r="C10" i="10"/>
  <c r="C12" i="10"/>
  <c r="C9" i="9"/>
  <c r="C8" i="9"/>
  <c r="C12" i="9"/>
  <c r="C16" i="9" s="1"/>
  <c r="C6" i="8"/>
  <c r="C7" i="8"/>
  <c r="C9" i="8"/>
  <c r="C8" i="8"/>
  <c r="C12" i="8"/>
  <c r="C16" i="8" s="1"/>
  <c r="C9" i="7"/>
  <c r="C8" i="7"/>
  <c r="C10" i="7"/>
  <c r="C7" i="7"/>
  <c r="C6" i="7"/>
  <c r="C12" i="7"/>
  <c r="C11" i="7" s="1"/>
  <c r="C8" i="5"/>
  <c r="D8" i="6"/>
  <c r="D9" i="6"/>
  <c r="D10" i="6"/>
  <c r="D6" i="6"/>
  <c r="D7" i="6" s="1"/>
  <c r="D12" i="6"/>
  <c r="D16" i="6" s="1"/>
  <c r="C10" i="5"/>
  <c r="C9" i="5"/>
  <c r="C6" i="5"/>
  <c r="F10" i="1"/>
  <c r="F8" i="1"/>
  <c r="H8" i="1" s="1"/>
  <c r="F4" i="1"/>
  <c r="C12" i="5"/>
  <c r="C16" i="5" s="1"/>
  <c r="C9" i="4"/>
  <c r="C8" i="4"/>
  <c r="C10" i="4"/>
  <c r="C6" i="4"/>
  <c r="C6" i="3"/>
  <c r="C7" i="3"/>
  <c r="C8" i="3"/>
  <c r="C9" i="3"/>
  <c r="C10" i="3"/>
  <c r="C12" i="3"/>
  <c r="C11" i="3" s="1"/>
  <c r="C6" i="2"/>
  <c r="I4" i="20"/>
  <c r="I5" i="20" s="1"/>
  <c r="D74" i="40" l="1"/>
  <c r="F5" i="1"/>
  <c r="H4" i="1"/>
  <c r="F11" i="1"/>
  <c r="H10" i="1"/>
  <c r="C11" i="18"/>
  <c r="C11" i="9"/>
  <c r="C16" i="11"/>
  <c r="C11" i="38"/>
  <c r="C16" i="7"/>
  <c r="C11" i="15"/>
  <c r="C11" i="12"/>
  <c r="C16" i="39"/>
  <c r="C11" i="8"/>
  <c r="C16" i="10"/>
  <c r="C11" i="17"/>
  <c r="C11" i="19"/>
  <c r="C11" i="10"/>
  <c r="C16" i="16"/>
  <c r="C16" i="14"/>
  <c r="C16" i="13"/>
  <c r="D11" i="6"/>
  <c r="C7" i="5"/>
  <c r="C11" i="5"/>
  <c r="C7" i="4"/>
  <c r="C16" i="3"/>
  <c r="G74" i="40" l="1"/>
  <c r="F12" i="1"/>
  <c r="H12" i="1" s="1"/>
  <c r="H11" i="1"/>
  <c r="F6" i="1"/>
  <c r="H6" i="1" s="1"/>
  <c r="H5" i="1"/>
  <c r="E8" i="5"/>
  <c r="E8" i="38"/>
  <c r="E11" i="19"/>
  <c r="E10" i="18"/>
  <c r="E11" i="15"/>
  <c r="E7" i="15"/>
  <c r="E11" i="10"/>
  <c r="E7" i="10"/>
  <c r="E10" i="8"/>
  <c r="E6" i="8"/>
  <c r="E11" i="7"/>
  <c r="E16" i="6"/>
  <c r="F9" i="6"/>
  <c r="E7" i="39"/>
  <c r="E9" i="19"/>
  <c r="E11" i="17"/>
  <c r="E10" i="16"/>
  <c r="D16" i="10"/>
  <c r="E9" i="7"/>
  <c r="E11" i="14"/>
  <c r="E10" i="13"/>
  <c r="E9" i="11"/>
  <c r="G12" i="10"/>
  <c r="E8" i="10"/>
  <c r="D16" i="9"/>
  <c r="C20" i="7"/>
  <c r="E11" i="38"/>
  <c r="G7" i="38"/>
  <c r="E10" i="19"/>
  <c r="E11" i="16"/>
  <c r="E10" i="15"/>
  <c r="E11" i="11"/>
  <c r="E10" i="12"/>
  <c r="C20" i="10"/>
  <c r="E10" i="10"/>
  <c r="E6" i="10"/>
  <c r="E11" i="9"/>
  <c r="E7" i="9"/>
  <c r="E9" i="8"/>
  <c r="D16" i="8"/>
  <c r="E10" i="7"/>
  <c r="E6" i="7"/>
  <c r="F8" i="6"/>
  <c r="E11" i="39"/>
  <c r="E10" i="38"/>
  <c r="G6" i="38"/>
  <c r="E8" i="18"/>
  <c r="E7" i="17"/>
  <c r="E11" i="13"/>
  <c r="E10" i="11"/>
  <c r="E9" i="12"/>
  <c r="C20" i="9"/>
  <c r="E10" i="9"/>
  <c r="E6" i="9"/>
  <c r="C20" i="8"/>
  <c r="D16" i="7"/>
  <c r="F11" i="6"/>
  <c r="E10" i="39"/>
  <c r="E11" i="18"/>
  <c r="E10" i="17"/>
  <c r="E11" i="8"/>
  <c r="E8" i="7"/>
  <c r="F10" i="6"/>
  <c r="D16" i="2"/>
  <c r="C7" i="20"/>
  <c r="C20" i="5"/>
  <c r="D16" i="5"/>
  <c r="E9" i="5"/>
  <c r="D16" i="4"/>
  <c r="D20" i="6"/>
  <c r="E10" i="5"/>
  <c r="C20" i="4"/>
  <c r="E11" i="5"/>
  <c r="C20" i="2"/>
  <c r="E11" i="4"/>
  <c r="E10" i="4"/>
  <c r="E9" i="4"/>
  <c r="E8" i="4"/>
  <c r="E6" i="4"/>
  <c r="E11" i="2"/>
  <c r="E10" i="2"/>
  <c r="C20" i="3"/>
  <c r="D16" i="3"/>
  <c r="E11" i="3"/>
  <c r="E10" i="3"/>
  <c r="E9" i="3"/>
  <c r="E8" i="3"/>
  <c r="C9" i="2"/>
  <c r="C8" i="2"/>
  <c r="C10" i="2"/>
  <c r="G16" i="6" l="1"/>
  <c r="F16" i="16"/>
  <c r="E37" i="43" s="1"/>
  <c r="F16" i="54"/>
  <c r="E72" i="43" s="1"/>
  <c r="G72" i="43" s="1"/>
  <c r="H72" i="43" s="1"/>
  <c r="F16" i="53"/>
  <c r="E57" i="43" s="1"/>
  <c r="G57" i="43" s="1"/>
  <c r="H57" i="43" s="1"/>
  <c r="E20" i="53"/>
  <c r="F57" i="43" s="1"/>
  <c r="E18" i="52"/>
  <c r="F56" i="43" s="1"/>
  <c r="F15" i="52"/>
  <c r="E56" i="43" s="1"/>
  <c r="F16" i="46"/>
  <c r="E47" i="43" s="1"/>
  <c r="E20" i="45"/>
  <c r="F48" i="43" s="1"/>
  <c r="F16" i="45"/>
  <c r="E48" i="43" s="1"/>
  <c r="E20" i="46"/>
  <c r="F47" i="43" s="1"/>
  <c r="F20" i="40"/>
  <c r="D77" i="40" s="1"/>
  <c r="E20" i="19"/>
  <c r="F41" i="43" s="1"/>
  <c r="G16" i="40"/>
  <c r="F20" i="6"/>
  <c r="F17" i="43" s="1"/>
  <c r="F18" i="43" s="1"/>
  <c r="F19" i="43" s="1"/>
  <c r="F20" i="43" s="1"/>
  <c r="E20" i="5"/>
  <c r="F15" i="43" s="1"/>
  <c r="F16" i="39"/>
  <c r="E46" i="43" s="1"/>
  <c r="F16" i="7"/>
  <c r="E21" i="43" s="1"/>
  <c r="E20" i="8"/>
  <c r="F23" i="43" s="1"/>
  <c r="F16" i="10"/>
  <c r="E26" i="43" s="1"/>
  <c r="E20" i="12"/>
  <c r="F29" i="43" s="1"/>
  <c r="F16" i="11"/>
  <c r="E27" i="43" s="1"/>
  <c r="E28" i="43" s="1"/>
  <c r="E20" i="14"/>
  <c r="F35" i="43" s="1"/>
  <c r="E20" i="39"/>
  <c r="F46" i="43" s="1"/>
  <c r="F16" i="38"/>
  <c r="E45" i="43" s="1"/>
  <c r="E20" i="13"/>
  <c r="F33" i="43" s="1"/>
  <c r="E20" i="11"/>
  <c r="F27" i="43" s="1"/>
  <c r="F16" i="19"/>
  <c r="E41" i="43" s="1"/>
  <c r="E20" i="15"/>
  <c r="F36" i="43" s="1"/>
  <c r="F16" i="18"/>
  <c r="E40" i="43" s="1"/>
  <c r="F16" i="12"/>
  <c r="E29" i="43" s="1"/>
  <c r="E30" i="43" s="1"/>
  <c r="E31" i="43" s="1"/>
  <c r="E32" i="43" s="1"/>
  <c r="E20" i="18"/>
  <c r="F40" i="43" s="1"/>
  <c r="E24" i="17"/>
  <c r="F39" i="43" s="1"/>
  <c r="F16" i="15"/>
  <c r="E36" i="43" s="1"/>
  <c r="F16" i="17"/>
  <c r="E38" i="43" s="1"/>
  <c r="E39" i="43" s="1"/>
  <c r="E20" i="38"/>
  <c r="F45" i="43" s="1"/>
  <c r="E20" i="17"/>
  <c r="F38" i="43" s="1"/>
  <c r="E20" i="16"/>
  <c r="F37" i="43" s="1"/>
  <c r="E20" i="9"/>
  <c r="F24" i="43" s="1"/>
  <c r="E20" i="7"/>
  <c r="F21" i="43" s="1"/>
  <c r="F16" i="13"/>
  <c r="E33" i="43" s="1"/>
  <c r="E20" i="2"/>
  <c r="F5" i="43" s="1"/>
  <c r="F16" i="9"/>
  <c r="E24" i="43" s="1"/>
  <c r="E25" i="43" s="1"/>
  <c r="F16" i="8"/>
  <c r="E23" i="43" s="1"/>
  <c r="F16" i="3"/>
  <c r="F16" i="5"/>
  <c r="E15" i="43" s="1"/>
  <c r="E16" i="43" s="1"/>
  <c r="F16" i="14"/>
  <c r="E35" i="43" s="1"/>
  <c r="E20" i="10"/>
  <c r="F26" i="43" s="1"/>
  <c r="E20" i="4"/>
  <c r="F11" i="43" s="1"/>
  <c r="G12" i="39"/>
  <c r="G11" i="39"/>
  <c r="G10" i="39"/>
  <c r="G9" i="39"/>
  <c r="G8" i="39"/>
  <c r="G7" i="39"/>
  <c r="G6" i="39"/>
  <c r="G12" i="38"/>
  <c r="G11" i="38"/>
  <c r="G10" i="38"/>
  <c r="G9" i="38"/>
  <c r="G8" i="38"/>
  <c r="G12" i="19"/>
  <c r="G11" i="19"/>
  <c r="G10" i="19"/>
  <c r="G9" i="19"/>
  <c r="G8" i="19"/>
  <c r="G7" i="19"/>
  <c r="G6" i="19"/>
  <c r="G12" i="18"/>
  <c r="G11" i="18"/>
  <c r="G10" i="18"/>
  <c r="G9" i="18"/>
  <c r="G8" i="18"/>
  <c r="G7" i="18"/>
  <c r="G6" i="18"/>
  <c r="G12" i="17"/>
  <c r="G11" i="17"/>
  <c r="G10" i="17"/>
  <c r="G9" i="17"/>
  <c r="G8" i="17"/>
  <c r="G7" i="17"/>
  <c r="G6" i="17"/>
  <c r="G12" i="16"/>
  <c r="G11" i="16"/>
  <c r="G10" i="16"/>
  <c r="G9" i="16"/>
  <c r="G8" i="16"/>
  <c r="G7" i="16"/>
  <c r="G6" i="16"/>
  <c r="G12" i="15"/>
  <c r="G11" i="15"/>
  <c r="G10" i="15"/>
  <c r="G9" i="15"/>
  <c r="G8" i="15"/>
  <c r="G7" i="15"/>
  <c r="G6" i="15"/>
  <c r="G12" i="14"/>
  <c r="G11" i="14"/>
  <c r="G10" i="14"/>
  <c r="G9" i="14"/>
  <c r="G8" i="14"/>
  <c r="G7" i="14"/>
  <c r="G6" i="14"/>
  <c r="G12" i="13"/>
  <c r="G11" i="13"/>
  <c r="G10" i="13"/>
  <c r="G9" i="13"/>
  <c r="G8" i="13"/>
  <c r="G7" i="13"/>
  <c r="G6" i="13"/>
  <c r="G12" i="12"/>
  <c r="G11" i="12"/>
  <c r="G10" i="12"/>
  <c r="G9" i="12"/>
  <c r="G8" i="12"/>
  <c r="G7" i="12"/>
  <c r="G6" i="12"/>
  <c r="G12" i="11"/>
  <c r="G11" i="11"/>
  <c r="G10" i="11"/>
  <c r="G9" i="11"/>
  <c r="G8" i="11"/>
  <c r="G7" i="11"/>
  <c r="G6" i="11"/>
  <c r="G11" i="10"/>
  <c r="G10" i="10"/>
  <c r="G9" i="10"/>
  <c r="G8" i="10"/>
  <c r="G7" i="10"/>
  <c r="G6" i="10"/>
  <c r="G12" i="9"/>
  <c r="G11" i="9"/>
  <c r="G10" i="9"/>
  <c r="G9" i="9"/>
  <c r="G8" i="9"/>
  <c r="G7" i="9"/>
  <c r="G6" i="9"/>
  <c r="G12" i="8"/>
  <c r="G11" i="8"/>
  <c r="G10" i="8"/>
  <c r="G9" i="8"/>
  <c r="G8" i="8"/>
  <c r="G7" i="8"/>
  <c r="G6" i="8"/>
  <c r="G12" i="7"/>
  <c r="G11" i="7"/>
  <c r="G10" i="7"/>
  <c r="G9" i="7"/>
  <c r="G8" i="7"/>
  <c r="G7" i="7"/>
  <c r="G6" i="7"/>
  <c r="E17" i="43"/>
  <c r="H12" i="6"/>
  <c r="H11" i="6"/>
  <c r="H10" i="6"/>
  <c r="H9" i="6"/>
  <c r="H8" i="6"/>
  <c r="H7" i="6"/>
  <c r="H6" i="6"/>
  <c r="G12" i="5"/>
  <c r="G11" i="5"/>
  <c r="G10" i="5"/>
  <c r="G9" i="5"/>
  <c r="G8" i="5"/>
  <c r="G7" i="5"/>
  <c r="G6" i="5"/>
  <c r="C12" i="4"/>
  <c r="C11" i="4" s="1"/>
  <c r="C16" i="4" s="1"/>
  <c r="F16" i="4" s="1"/>
  <c r="E11" i="43" s="1"/>
  <c r="E12" i="43" s="1"/>
  <c r="E13" i="43" s="1"/>
  <c r="E14" i="43" s="1"/>
  <c r="G10" i="4"/>
  <c r="G9" i="4"/>
  <c r="G8" i="4"/>
  <c r="G7" i="4"/>
  <c r="G6" i="4"/>
  <c r="G12" i="3"/>
  <c r="G11" i="3"/>
  <c r="G10" i="3"/>
  <c r="G9" i="3"/>
  <c r="G8" i="3"/>
  <c r="G7" i="3"/>
  <c r="G6" i="3"/>
  <c r="C7" i="2"/>
  <c r="G7" i="2" s="1"/>
  <c r="C16" i="2"/>
  <c r="F16" i="2" s="1"/>
  <c r="E5" i="43" s="1"/>
  <c r="E6" i="43" s="1"/>
  <c r="E7" i="43" s="1"/>
  <c r="E8" i="43" s="1"/>
  <c r="C11" i="2"/>
  <c r="G11" i="2" s="1"/>
  <c r="G6" i="2"/>
  <c r="G8" i="2"/>
  <c r="G9" i="2"/>
  <c r="G12" i="2"/>
  <c r="G10" i="2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F23" i="1"/>
  <c r="E78" i="43" l="1"/>
  <c r="G47" i="43"/>
  <c r="H47" i="43" s="1"/>
  <c r="G77" i="40"/>
  <c r="D61" i="40"/>
  <c r="G56" i="43"/>
  <c r="G48" i="43"/>
  <c r="H23" i="1"/>
  <c r="B24" i="9" s="1"/>
  <c r="E24" i="9" s="1"/>
  <c r="F25" i="43" s="1"/>
  <c r="F22" i="43"/>
  <c r="E42" i="43"/>
  <c r="E43" i="43" s="1"/>
  <c r="E44" i="43" s="1"/>
  <c r="F16" i="43"/>
  <c r="F30" i="43"/>
  <c r="F28" i="43"/>
  <c r="E18" i="43"/>
  <c r="G13" i="7"/>
  <c r="D21" i="43" s="1"/>
  <c r="D22" i="43" s="1"/>
  <c r="F12" i="43"/>
  <c r="G11" i="4"/>
  <c r="G12" i="4"/>
  <c r="G13" i="18"/>
  <c r="D40" i="43" s="1"/>
  <c r="F6" i="43"/>
  <c r="G13" i="17"/>
  <c r="D38" i="43" s="1"/>
  <c r="D39" i="43" s="1"/>
  <c r="G39" i="43" s="1"/>
  <c r="H39" i="43" s="1"/>
  <c r="G13" i="39"/>
  <c r="D46" i="43" s="1"/>
  <c r="G13" i="38"/>
  <c r="D45" i="43" s="1"/>
  <c r="G45" i="43" s="1"/>
  <c r="H45" i="43" s="1"/>
  <c r="G13" i="19"/>
  <c r="D41" i="43" s="1"/>
  <c r="G41" i="43" s="1"/>
  <c r="H41" i="43" s="1"/>
  <c r="G13" i="16"/>
  <c r="D37" i="43" s="1"/>
  <c r="G13" i="13"/>
  <c r="G13" i="12"/>
  <c r="D29" i="43" s="1"/>
  <c r="G29" i="43" s="1"/>
  <c r="H29" i="43" s="1"/>
  <c r="G13" i="8"/>
  <c r="D23" i="43" s="1"/>
  <c r="E22" i="43"/>
  <c r="H13" i="6"/>
  <c r="D17" i="43" s="1"/>
  <c r="G17" i="43" s="1"/>
  <c r="H17" i="43" s="1"/>
  <c r="G13" i="5"/>
  <c r="D15" i="43" s="1"/>
  <c r="G15" i="43" s="1"/>
  <c r="G13" i="3"/>
  <c r="D9" i="43" s="1"/>
  <c r="D10" i="43" s="1"/>
  <c r="E9" i="43"/>
  <c r="G13" i="15"/>
  <c r="D36" i="43" s="1"/>
  <c r="G13" i="14"/>
  <c r="D35" i="43" s="1"/>
  <c r="G13" i="11"/>
  <c r="D27" i="43" s="1"/>
  <c r="G27" i="43" s="1"/>
  <c r="H27" i="43" s="1"/>
  <c r="G13" i="10"/>
  <c r="D26" i="43" s="1"/>
  <c r="G13" i="9"/>
  <c r="D24" i="43" s="1"/>
  <c r="G24" i="43" s="1"/>
  <c r="H24" i="43" s="1"/>
  <c r="G13" i="2"/>
  <c r="D5" i="43" s="1"/>
  <c r="D6" i="43" s="1"/>
  <c r="D7" i="43" s="1"/>
  <c r="D8" i="43" s="1"/>
  <c r="H15" i="43" l="1"/>
  <c r="G78" i="43"/>
  <c r="H56" i="43"/>
  <c r="D75" i="40"/>
  <c r="D62" i="40"/>
  <c r="C10" i="47"/>
  <c r="E10" i="47" s="1"/>
  <c r="D33" i="43"/>
  <c r="G33" i="43" s="1"/>
  <c r="H33" i="43" s="1"/>
  <c r="G13" i="4"/>
  <c r="D11" i="43" s="1"/>
  <c r="D12" i="43" s="1"/>
  <c r="D13" i="43" s="1"/>
  <c r="D14" i="43" s="1"/>
  <c r="G46" i="43"/>
  <c r="F31" i="43"/>
  <c r="G21" i="43"/>
  <c r="G38" i="43"/>
  <c r="H38" i="43" s="1"/>
  <c r="G37" i="43"/>
  <c r="G6" i="43"/>
  <c r="G23" i="43"/>
  <c r="H23" i="43" s="1"/>
  <c r="G22" i="43"/>
  <c r="H22" i="43" s="1"/>
  <c r="G5" i="43"/>
  <c r="G35" i="43"/>
  <c r="G26" i="43"/>
  <c r="G40" i="43"/>
  <c r="H40" i="43" s="1"/>
  <c r="G36" i="43"/>
  <c r="H36" i="43" s="1"/>
  <c r="E19" i="43"/>
  <c r="F13" i="43"/>
  <c r="E10" i="43"/>
  <c r="F7" i="43"/>
  <c r="G7" i="43" s="1"/>
  <c r="H7" i="43" s="1"/>
  <c r="D42" i="43"/>
  <c r="D30" i="43"/>
  <c r="G30" i="43" s="1"/>
  <c r="H30" i="43" s="1"/>
  <c r="D28" i="43"/>
  <c r="G28" i="43" s="1"/>
  <c r="H28" i="43" s="1"/>
  <c r="D25" i="43"/>
  <c r="D18" i="43"/>
  <c r="G18" i="43" s="1"/>
  <c r="H18" i="43" s="1"/>
  <c r="D16" i="43"/>
  <c r="H37" i="43" l="1"/>
  <c r="G75" i="40"/>
  <c r="D76" i="40"/>
  <c r="G76" i="40" s="1"/>
  <c r="H35" i="43"/>
  <c r="C8" i="47"/>
  <c r="E8" i="47" s="1"/>
  <c r="C9" i="47"/>
  <c r="E9" i="47" s="1"/>
  <c r="G13" i="43"/>
  <c r="H13" i="43" s="1"/>
  <c r="G11" i="43"/>
  <c r="G12" i="43"/>
  <c r="H12" i="43" s="1"/>
  <c r="H11" i="43"/>
  <c r="H26" i="43"/>
  <c r="H5" i="43"/>
  <c r="H21" i="43"/>
  <c r="H6" i="43"/>
  <c r="G16" i="43"/>
  <c r="G25" i="43"/>
  <c r="H25" i="43" s="1"/>
  <c r="F32" i="43"/>
  <c r="E20" i="43"/>
  <c r="E49" i="43" s="1"/>
  <c r="F14" i="43"/>
  <c r="F8" i="43"/>
  <c r="D43" i="43"/>
  <c r="D31" i="43"/>
  <c r="G31" i="43" s="1"/>
  <c r="H31" i="43" s="1"/>
  <c r="D19" i="43"/>
  <c r="G19" i="43" s="1"/>
  <c r="H19" i="43" s="1"/>
  <c r="G78" i="40" l="1"/>
  <c r="H16" i="43"/>
  <c r="G14" i="43"/>
  <c r="H14" i="43" s="1"/>
  <c r="G8" i="43"/>
  <c r="D44" i="43"/>
  <c r="D32" i="43"/>
  <c r="G32" i="43" s="1"/>
  <c r="H32" i="43" s="1"/>
  <c r="D20" i="43"/>
  <c r="H8" i="43" l="1"/>
  <c r="G20" i="43"/>
  <c r="D49" i="43"/>
  <c r="E20" i="3"/>
  <c r="F9" i="43" s="1"/>
  <c r="C32" i="43" l="1"/>
  <c r="H20" i="43"/>
  <c r="F10" i="43"/>
  <c r="G9" i="43"/>
  <c r="H9" i="43" l="1"/>
  <c r="G10" i="43"/>
  <c r="F42" i="43"/>
  <c r="G42" i="43" s="1"/>
  <c r="H42" i="43" l="1"/>
  <c r="H10" i="43"/>
  <c r="F43" i="43"/>
  <c r="G43" i="43" s="1"/>
  <c r="H43" i="43" s="1"/>
  <c r="F44" i="43" l="1"/>
  <c r="G44" i="43" s="1"/>
  <c r="H44" i="43" l="1"/>
  <c r="F49" i="43"/>
  <c r="D50" i="43" l="1"/>
  <c r="D78" i="40"/>
  <c r="G50" i="43" l="1"/>
  <c r="F78" i="43"/>
  <c r="D79" i="43" l="1"/>
</calcChain>
</file>

<file path=xl/sharedStrings.xml><?xml version="1.0" encoding="utf-8"?>
<sst xmlns="http://schemas.openxmlformats.org/spreadsheetml/2006/main" count="2064" uniqueCount="409">
  <si>
    <t>Sala</t>
  </si>
  <si>
    <t>AL7</t>
  </si>
  <si>
    <t>AL8</t>
  </si>
  <si>
    <t>AL9</t>
  </si>
  <si>
    <t>AL10</t>
  </si>
  <si>
    <t>AL1</t>
  </si>
  <si>
    <t>AL2</t>
  </si>
  <si>
    <t>ALRM4</t>
  </si>
  <si>
    <t>ALRM3</t>
  </si>
  <si>
    <t>ALRM5</t>
  </si>
  <si>
    <t>ALRM6</t>
  </si>
  <si>
    <t>Area superficial [m2]</t>
  </si>
  <si>
    <t>N° Personas</t>
  </si>
  <si>
    <t>ABRM8</t>
  </si>
  <si>
    <t>ABRM7</t>
  </si>
  <si>
    <t>ABRM6</t>
  </si>
  <si>
    <t>ABRM5</t>
  </si>
  <si>
    <t>ABRM4</t>
  </si>
  <si>
    <t>ABRM3</t>
  </si>
  <si>
    <t>ABRM1</t>
  </si>
  <si>
    <t>ABRM2</t>
  </si>
  <si>
    <t>COPE</t>
  </si>
  <si>
    <t>COM</t>
  </si>
  <si>
    <t>SP</t>
  </si>
  <si>
    <t>AESM</t>
  </si>
  <si>
    <t>DMD</t>
  </si>
  <si>
    <t>APA</t>
  </si>
  <si>
    <t>RECEP-SEC</t>
  </si>
  <si>
    <t>UTP</t>
  </si>
  <si>
    <t>DIR</t>
  </si>
  <si>
    <t>CP</t>
  </si>
  <si>
    <t>PA</t>
  </si>
  <si>
    <t>AET</t>
  </si>
  <si>
    <t>A1</t>
  </si>
  <si>
    <t>A2</t>
  </si>
  <si>
    <t>A3</t>
  </si>
  <si>
    <t>N°</t>
  </si>
  <si>
    <t>PCC</t>
  </si>
  <si>
    <t>ACP</t>
  </si>
  <si>
    <t>A.HIDRO</t>
  </si>
  <si>
    <t>Envolvente</t>
  </si>
  <si>
    <t>infiltracion</t>
  </si>
  <si>
    <t>ventilacion</t>
  </si>
  <si>
    <t>Muro norte</t>
  </si>
  <si>
    <t>Muro sur</t>
  </si>
  <si>
    <t>Muro este</t>
  </si>
  <si>
    <t>Muro oeste</t>
  </si>
  <si>
    <t>Techo</t>
  </si>
  <si>
    <t>Piso</t>
  </si>
  <si>
    <t>ventana</t>
  </si>
  <si>
    <t>Densidad del aire</t>
  </si>
  <si>
    <t>Calor especifico del aire</t>
  </si>
  <si>
    <t>Información General</t>
  </si>
  <si>
    <t xml:space="preserve">Temperatura exterior </t>
  </si>
  <si>
    <t>Unidad</t>
  </si>
  <si>
    <t>Valor</t>
  </si>
  <si>
    <t>°C</t>
  </si>
  <si>
    <t>Sala AL1-AL2-AL3-AL4</t>
  </si>
  <si>
    <t>Transferencia</t>
  </si>
  <si>
    <t>TOTAL [W]</t>
  </si>
  <si>
    <t>Q envolvente [W]</t>
  </si>
  <si>
    <t>Q infiltración [W]</t>
  </si>
  <si>
    <t>Q ventilación [W]</t>
  </si>
  <si>
    <t>Sala AL5-AL6</t>
  </si>
  <si>
    <t>Sala AL7-AL8-AL9-AL10</t>
  </si>
  <si>
    <t>Sala ABRM1-ABRM2</t>
  </si>
  <si>
    <t>Sala ABRM3-ABRM4-ABRM5-ABRM6</t>
  </si>
  <si>
    <t>Sala ABRM7-ABRM8</t>
  </si>
  <si>
    <t>Sala COPE</t>
  </si>
  <si>
    <t>Sala COM-SP</t>
  </si>
  <si>
    <t>Sala AESM</t>
  </si>
  <si>
    <t>Sala SC1-SC2</t>
  </si>
  <si>
    <t>Sala BP1-BP2-BP3-BP4</t>
  </si>
  <si>
    <t>Sala DMD-APA1-APA2</t>
  </si>
  <si>
    <t>Sala RECEP-SEC</t>
  </si>
  <si>
    <t>Sala UTP</t>
  </si>
  <si>
    <t>Sala DIR</t>
  </si>
  <si>
    <t>Sala BP-CP</t>
  </si>
  <si>
    <t>Sala PA</t>
  </si>
  <si>
    <t>Sala AET-A1-A2-A3</t>
  </si>
  <si>
    <t>Sala ACP</t>
  </si>
  <si>
    <t>BP1</t>
  </si>
  <si>
    <t>BP2</t>
  </si>
  <si>
    <t>BP3</t>
  </si>
  <si>
    <t>BP4</t>
  </si>
  <si>
    <t>APA1</t>
  </si>
  <si>
    <t>APA2</t>
  </si>
  <si>
    <t>BP5</t>
  </si>
  <si>
    <t>SUB-TOTAL [kW]</t>
  </si>
  <si>
    <t>TOTAL [kW]</t>
  </si>
  <si>
    <t>Altura Ñielol</t>
  </si>
  <si>
    <t>[kg/m3]</t>
  </si>
  <si>
    <t>[kJ/kg*K]</t>
  </si>
  <si>
    <t>prom</t>
  </si>
  <si>
    <t>AÑO</t>
  </si>
  <si>
    <t>T°MINIMA PROM</t>
  </si>
  <si>
    <t>INFORME GENERAL</t>
  </si>
  <si>
    <t>ACTUALIZAR DENSIDAD</t>
  </si>
  <si>
    <t>DENSIDAD A NIVEL DEL MAR</t>
  </si>
  <si>
    <t>PRESION ATM EN ÑIELOL</t>
  </si>
  <si>
    <t>Tasa infiltracion [camb/h]</t>
  </si>
  <si>
    <t>volumen recinto [m3]</t>
  </si>
  <si>
    <t>Area [m2]</t>
  </si>
  <si>
    <t>Potencia térmica [W]</t>
  </si>
  <si>
    <t>Temperatura interior [°C]</t>
  </si>
  <si>
    <t>Temperatua exterior [°C]</t>
  </si>
  <si>
    <t>Coeficiente global U [W/m2*K]</t>
  </si>
  <si>
    <t>Caudal de aire [m3/h]</t>
  </si>
  <si>
    <t>Potencia por sala [W]</t>
  </si>
  <si>
    <t>SC1</t>
  </si>
  <si>
    <t>SC2</t>
  </si>
  <si>
    <t>ventilacion BP5</t>
  </si>
  <si>
    <t>ventilacion CP</t>
  </si>
  <si>
    <t xml:space="preserve">Sala PCC </t>
  </si>
  <si>
    <t>ventilacion SP</t>
  </si>
  <si>
    <t>ventilacion COM</t>
  </si>
  <si>
    <t>comedor</t>
  </si>
  <si>
    <t>oficina</t>
  </si>
  <si>
    <t>sala de clases</t>
  </si>
  <si>
    <t>gimnasio</t>
  </si>
  <si>
    <t>sala de computadores</t>
  </si>
  <si>
    <t>recepcion</t>
  </si>
  <si>
    <t>sala reunion</t>
  </si>
  <si>
    <t>box</t>
  </si>
  <si>
    <t>hall</t>
  </si>
  <si>
    <t>piscina</t>
  </si>
  <si>
    <t>T°MAXIMA PROM</t>
  </si>
  <si>
    <t>T°EXTREMA MINIMA</t>
  </si>
  <si>
    <t>T°EXTREMA MAXIMA</t>
  </si>
  <si>
    <t>Tasa de superficie [l/s*m2]</t>
  </si>
  <si>
    <t>Temperatura sala s/c</t>
  </si>
  <si>
    <t>Temperatura suelo</t>
  </si>
  <si>
    <t>Temperatura confort</t>
  </si>
  <si>
    <t>Correccion 22°C 80/60</t>
  </si>
  <si>
    <t>-</t>
  </si>
  <si>
    <t>TEMPERATURAS PROMEDIO TEMUCO °C DMC</t>
  </si>
  <si>
    <t>Dormitorio</t>
  </si>
  <si>
    <t>factor correccion</t>
  </si>
  <si>
    <t>ACH</t>
  </si>
  <si>
    <t>Q</t>
  </si>
  <si>
    <t>q agua</t>
  </si>
  <si>
    <t>q recinto</t>
  </si>
  <si>
    <t>volumen 0,5 m prof [m3]</t>
  </si>
  <si>
    <t>volumen 1 m prof [m3]</t>
  </si>
  <si>
    <t>q evap</t>
  </si>
  <si>
    <t>q envolvente</t>
  </si>
  <si>
    <t>sup norte</t>
  </si>
  <si>
    <t>sup sur</t>
  </si>
  <si>
    <t>sup oeste</t>
  </si>
  <si>
    <t>sup este</t>
  </si>
  <si>
    <t>suelo</t>
  </si>
  <si>
    <t>DK300/2000</t>
  </si>
  <si>
    <t>RAD</t>
  </si>
  <si>
    <t>Sala AES</t>
  </si>
  <si>
    <t>AES</t>
  </si>
  <si>
    <t>OD</t>
  </si>
  <si>
    <t>Sala OD</t>
  </si>
  <si>
    <t>LOS</t>
  </si>
  <si>
    <t>T° INGRESO</t>
  </si>
  <si>
    <t>T° RETORNO</t>
  </si>
  <si>
    <t>T° AMBIENTE</t>
  </si>
  <si>
    <t>DELTA Th</t>
  </si>
  <si>
    <t>salas</t>
  </si>
  <si>
    <t>Paso entre tubos [cm]</t>
  </si>
  <si>
    <t>Largo total cañerias [m]</t>
  </si>
  <si>
    <t>Numero de serp</t>
  </si>
  <si>
    <t>Tasa de potencia por area[W/m2]</t>
  </si>
  <si>
    <t>Area del recinto[m2]</t>
  </si>
  <si>
    <t>Potencia termica [W]</t>
  </si>
  <si>
    <t>PCCPB</t>
  </si>
  <si>
    <t>sin acondicionamiento</t>
  </si>
  <si>
    <t>T.C.</t>
  </si>
  <si>
    <t xml:space="preserve">kW </t>
  </si>
  <si>
    <t>Potencia térmica [kW]</t>
  </si>
  <si>
    <t>Espesor [m]</t>
  </si>
  <si>
    <t>U hormigon k=1,6 [W/mK]</t>
  </si>
  <si>
    <t>DeltaT [k]</t>
  </si>
  <si>
    <t>Superficie</t>
  </si>
  <si>
    <t xml:space="preserve">Potencia Térmica </t>
  </si>
  <si>
    <t xml:space="preserve">Potencia térmica por evaporación </t>
  </si>
  <si>
    <t>Area superficial de piscina [m2]</t>
  </si>
  <si>
    <t>A</t>
  </si>
  <si>
    <t>Presión de saturacion de vapor en superficie del agua [kPa]</t>
  </si>
  <si>
    <t>Pw</t>
  </si>
  <si>
    <t>Presión de saturacion en punto de rocío [kPa]</t>
  </si>
  <si>
    <t>Pa</t>
  </si>
  <si>
    <t>Velocidad del viento en superficie del agua [m/s]</t>
  </si>
  <si>
    <t>V</t>
  </si>
  <si>
    <t>Calor latente requerido para la evaporacion del agua [kJ/kg]</t>
  </si>
  <si>
    <t>Y</t>
  </si>
  <si>
    <t>Factor de corrección según actividad</t>
  </si>
  <si>
    <t>Fa</t>
  </si>
  <si>
    <t>Rango de evaporacion [kg/s]</t>
  </si>
  <si>
    <t>Wp</t>
  </si>
  <si>
    <t>Humedad contenida del aire de la piscina (criterio de diseño)[kg/kg]</t>
  </si>
  <si>
    <t>Wi</t>
  </si>
  <si>
    <t>Humedad contenida del aire exterior [kg/kg]</t>
  </si>
  <si>
    <t>Wo</t>
  </si>
  <si>
    <t>Densidad del aire [kg/m3]</t>
  </si>
  <si>
    <t>rho</t>
  </si>
  <si>
    <t>Caudal de aire [m3/S]</t>
  </si>
  <si>
    <t>Volumen del recinto [m3]</t>
  </si>
  <si>
    <t>Numero de cambio de aire por hora [ACH]</t>
  </si>
  <si>
    <t>Largo Piscina [m]</t>
  </si>
  <si>
    <t>Ancho Piscina [m]</t>
  </si>
  <si>
    <t>Area superficial piscina [m2]</t>
  </si>
  <si>
    <t>1 metro de profundidad [m]</t>
  </si>
  <si>
    <t>o,5 metro de profundidad [m]</t>
  </si>
  <si>
    <t>Q agua (7h)</t>
  </si>
  <si>
    <t>Total piscina [kW]</t>
  </si>
  <si>
    <t>q recinto [kW]</t>
  </si>
  <si>
    <t>q agua [kW]</t>
  </si>
  <si>
    <t>q envolvente pisc [kW]</t>
  </si>
  <si>
    <t>qevap [kW]</t>
  </si>
  <si>
    <t xml:space="preserve">q total [kW] </t>
  </si>
  <si>
    <t>h</t>
  </si>
  <si>
    <t>a</t>
  </si>
  <si>
    <t>q sensible piscina</t>
  </si>
  <si>
    <t>q ventilacion</t>
  </si>
  <si>
    <t>too</t>
  </si>
  <si>
    <t>ts</t>
  </si>
  <si>
    <t>total</t>
  </si>
  <si>
    <t>masa aire exterior</t>
  </si>
  <si>
    <t>entalpia aire exterior</t>
  </si>
  <si>
    <t>masa aire interior</t>
  </si>
  <si>
    <t>potencia disipada</t>
  </si>
  <si>
    <t>potencia intercambiador</t>
  </si>
  <si>
    <t>Masa de aire total</t>
  </si>
  <si>
    <t>entalpia inyeccion</t>
  </si>
  <si>
    <t>Flujo masico retorno [kg/h]</t>
  </si>
  <si>
    <t>Flujo volumetrico retorno [m3/h]</t>
  </si>
  <si>
    <t>Potencia intercambiador [kW]</t>
  </si>
  <si>
    <t>Externo</t>
  </si>
  <si>
    <t>Potencia disipada [kW]</t>
  </si>
  <si>
    <t>POTENCIA DISIPADA=m total*h total</t>
  </si>
  <si>
    <t>Temperatura aire inyeccion [°C]</t>
  </si>
  <si>
    <t>mtotal=POTENCIA DISIPADA/h total</t>
  </si>
  <si>
    <t>Humedad relativa aire inyeccion [%]</t>
  </si>
  <si>
    <t>interior</t>
  </si>
  <si>
    <t>Entalpia aire inyección [kJ/kg]</t>
  </si>
  <si>
    <t>mtotal=mventilacion+mretorno</t>
  </si>
  <si>
    <t>Flujo masico total de inyección [kg/h]</t>
  </si>
  <si>
    <t>mretorno=mtotal-mventilacion</t>
  </si>
  <si>
    <t>Flujo volumetrico total de inyeccion [m3/h]</t>
  </si>
  <si>
    <t>Flujo masico ventilación [kg/h]</t>
  </si>
  <si>
    <t>mtotal*htotal=mventilacion*hventilacion+mretorno*hretorno+p</t>
  </si>
  <si>
    <t>Flujo volumetrico ventilación [m3/h]</t>
  </si>
  <si>
    <t xml:space="preserve"> 62,1 ASHRAE</t>
  </si>
  <si>
    <t>p=mtotal*htotal-mventilacion*hventilacion-mretorno*hretorno</t>
  </si>
  <si>
    <t>Temperatura aire exterior [°C]</t>
  </si>
  <si>
    <t>Humedad relativa aire exterior [%]</t>
  </si>
  <si>
    <t>Entalpia aire exterior [kJ/kg]</t>
  </si>
  <si>
    <t>Temperatura aire retorno [°C]</t>
  </si>
  <si>
    <t>Humedad relativa aire retorno [%]</t>
  </si>
  <si>
    <t>Entalpia aire retorno [kJ/kg]</t>
  </si>
  <si>
    <t>Sala BSR</t>
  </si>
  <si>
    <t>BSR2</t>
  </si>
  <si>
    <t>BSR1</t>
  </si>
  <si>
    <t>Bodega</t>
  </si>
  <si>
    <t>BMANIP</t>
  </si>
  <si>
    <t>AREA</t>
  </si>
  <si>
    <t>BPS1</t>
  </si>
  <si>
    <t>BA1</t>
  </si>
  <si>
    <t>BA2</t>
  </si>
  <si>
    <t>BA3</t>
  </si>
  <si>
    <t>BA4</t>
  </si>
  <si>
    <t>SSHHAU ALUMNOS 1</t>
  </si>
  <si>
    <t>SSHHAU ALUMNAS 1</t>
  </si>
  <si>
    <t>SSHHAU ALUMNOS 2</t>
  </si>
  <si>
    <t>SSHHAU ALUMNAS 2</t>
  </si>
  <si>
    <t xml:space="preserve">SSHHAU </t>
  </si>
  <si>
    <t>BDA</t>
  </si>
  <si>
    <t>SHAH 1</t>
  </si>
  <si>
    <t>SHAH 2</t>
  </si>
  <si>
    <t>SHCH 1</t>
  </si>
  <si>
    <t>SHCH2</t>
  </si>
  <si>
    <t>CDH</t>
  </si>
  <si>
    <t>SSHH ET</t>
  </si>
  <si>
    <t>N° WC</t>
  </si>
  <si>
    <t>BAÑO</t>
  </si>
  <si>
    <t>Bodega/Aula</t>
  </si>
  <si>
    <t>Uso</t>
  </si>
  <si>
    <t>Caudal total [l/s]</t>
  </si>
  <si>
    <t>Tasa personas [l/s*personas]</t>
  </si>
  <si>
    <t>Tasa personas [l/s*WC]</t>
  </si>
  <si>
    <t>BPS2</t>
  </si>
  <si>
    <t>BPS1-BPS2</t>
  </si>
  <si>
    <t>BA1=BA2=BA3=BA4</t>
  </si>
  <si>
    <t>SSHAU ALUMNOS 1-SSHAU ALUMNAS 1</t>
  </si>
  <si>
    <t>SHAH 1-SHAH 2</t>
  </si>
  <si>
    <t>ALRM 35=ALRM 46=ABRM 35=ABRM 46</t>
  </si>
  <si>
    <t>ALRM 35</t>
  </si>
  <si>
    <t>ALRM 46</t>
  </si>
  <si>
    <t>ABRM 35</t>
  </si>
  <si>
    <t>ABRM 46</t>
  </si>
  <si>
    <t>SSHAU</t>
  </si>
  <si>
    <t>SSHPB AET-A1=SSHPB A2-A3</t>
  </si>
  <si>
    <t>SHHPB AET-A1</t>
  </si>
  <si>
    <t>SHHPB A2-A3</t>
  </si>
  <si>
    <t>DM=DH</t>
  </si>
  <si>
    <t>DH</t>
  </si>
  <si>
    <t>DM</t>
  </si>
  <si>
    <t>INFORME GENERAL OBSERVACION</t>
  </si>
  <si>
    <t>Nivel Laboral</t>
  </si>
  <si>
    <t>Nivel basico retos multiples</t>
  </si>
  <si>
    <t>Area rehabilitación</t>
  </si>
  <si>
    <t>Area servicio</t>
  </si>
  <si>
    <t>SSHAU ALUMNAS 1</t>
  </si>
  <si>
    <t>SSHAU ALUMNOS 1</t>
  </si>
  <si>
    <t>SSHAU ALUMNOS 2</t>
  </si>
  <si>
    <t>SSHAU ALUMNAS 2</t>
  </si>
  <si>
    <t>SSHAU ALUMNOS 2-SSHAU ALUMNAS 2</t>
  </si>
  <si>
    <t>SSHPB AET-A1</t>
  </si>
  <si>
    <t>SSHPB A2-A3</t>
  </si>
  <si>
    <t>NIVEL LABORAL</t>
  </si>
  <si>
    <t>NIVEL BASICO R.M</t>
  </si>
  <si>
    <t>AREA REHABILITACION</t>
  </si>
  <si>
    <t>AREA SERVICIO</t>
  </si>
  <si>
    <t>Sala BSR 1</t>
  </si>
  <si>
    <t>Nivel basico RM</t>
  </si>
  <si>
    <t>Area Rehabilitacion</t>
  </si>
  <si>
    <t>Area Servicio</t>
  </si>
  <si>
    <t>CCC8</t>
  </si>
  <si>
    <t>Corredor</t>
  </si>
  <si>
    <t>ccc8</t>
  </si>
  <si>
    <t xml:space="preserve">Tasa infiltracion </t>
  </si>
  <si>
    <t>[cambio/h]</t>
  </si>
  <si>
    <t>{msnm]</t>
  </si>
  <si>
    <t xml:space="preserve"> </t>
  </si>
  <si>
    <t>NIVEL ADMINISTRACION</t>
  </si>
  <si>
    <t xml:space="preserve">Area Administracion </t>
  </si>
  <si>
    <t>TOTAL</t>
  </si>
  <si>
    <t>Radiadores</t>
  </si>
  <si>
    <t>DK300/3000</t>
  </si>
  <si>
    <t>DK300/2001</t>
  </si>
  <si>
    <t>DK300/3001</t>
  </si>
  <si>
    <t>DK300/2002</t>
  </si>
  <si>
    <t>DK300/3002</t>
  </si>
  <si>
    <t>DK300/2003</t>
  </si>
  <si>
    <t>DK300/3003</t>
  </si>
  <si>
    <t>DK300/2004</t>
  </si>
  <si>
    <t>DK300/3004</t>
  </si>
  <si>
    <t>DK300/2005</t>
  </si>
  <si>
    <t>DK300/3005</t>
  </si>
  <si>
    <t>DK300/2006</t>
  </si>
  <si>
    <t>DK300/3006</t>
  </si>
  <si>
    <t>DK300/2007</t>
  </si>
  <si>
    <t>DK300/3007</t>
  </si>
  <si>
    <t>DK300/2008</t>
  </si>
  <si>
    <t>DK300/3008</t>
  </si>
  <si>
    <t>DK300/2009</t>
  </si>
  <si>
    <t>DK300/3009</t>
  </si>
  <si>
    <t>DK300/2010</t>
  </si>
  <si>
    <t>DK300/3010</t>
  </si>
  <si>
    <t>DK300/2011</t>
  </si>
  <si>
    <t>DK300/3011</t>
  </si>
  <si>
    <t>DK300/2012</t>
  </si>
  <si>
    <t>DK300/3012</t>
  </si>
  <si>
    <t>DK300/2013</t>
  </si>
  <si>
    <t>DK300/3013</t>
  </si>
  <si>
    <t>DK300/2014</t>
  </si>
  <si>
    <t>DK300/3014</t>
  </si>
  <si>
    <t>DK300/2015</t>
  </si>
  <si>
    <t>DK300/3015</t>
  </si>
  <si>
    <t>DK300/2016</t>
  </si>
  <si>
    <t>DK300/3016</t>
  </si>
  <si>
    <t>DK300/2017</t>
  </si>
  <si>
    <t>DK300/3017</t>
  </si>
  <si>
    <t>N° de equip.</t>
  </si>
  <si>
    <t>DK500/1800</t>
  </si>
  <si>
    <t>DK500/2800</t>
  </si>
  <si>
    <t>DK500/3000</t>
  </si>
  <si>
    <t>DK500/2600</t>
  </si>
  <si>
    <t>DK500/2000</t>
  </si>
  <si>
    <t>DK500/1600</t>
  </si>
  <si>
    <t>DK500/1100</t>
  </si>
  <si>
    <t>DK500/1000</t>
  </si>
  <si>
    <t>PISO RADIANTE</t>
  </si>
  <si>
    <t>DK500/1300</t>
  </si>
  <si>
    <t>DK500/800</t>
  </si>
  <si>
    <t>DK500/1400</t>
  </si>
  <si>
    <t>DK300/1800</t>
  </si>
  <si>
    <t xml:space="preserve">CALDERA PELLET </t>
  </si>
  <si>
    <t>CALDERA MURAL CONDENSACIÓN</t>
  </si>
  <si>
    <t>20 kW</t>
  </si>
  <si>
    <t>300 kW</t>
  </si>
  <si>
    <t>DK500/2200</t>
  </si>
  <si>
    <t>DK300/1500</t>
  </si>
  <si>
    <t>DK300/1200</t>
  </si>
  <si>
    <t>ST00.750.1195</t>
  </si>
  <si>
    <t>ST00.600.1385</t>
  </si>
  <si>
    <t>DK500/1500</t>
  </si>
  <si>
    <t>ST00..600.1385</t>
  </si>
  <si>
    <t>DK300/0800</t>
  </si>
  <si>
    <t>DK500/1200</t>
  </si>
  <si>
    <t>DK500/0800</t>
  </si>
  <si>
    <t>OTROS</t>
  </si>
  <si>
    <t>Carga Térmica [kW]</t>
  </si>
  <si>
    <t>CALDERA MURAL DE CONDENSACION</t>
  </si>
  <si>
    <t>pot</t>
  </si>
  <si>
    <t>densidad</t>
  </si>
  <si>
    <t>calor espec</t>
  </si>
  <si>
    <t>delta t</t>
  </si>
  <si>
    <t>pot n</t>
  </si>
  <si>
    <t>caudal l/s</t>
  </si>
  <si>
    <t>Zona de deporte (caldera mural)</t>
  </si>
  <si>
    <t>Abastecimiento general (Calderas a pellets)</t>
  </si>
  <si>
    <t>Calderas</t>
  </si>
  <si>
    <t>Caudal total [m3/h]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</si>
</sst>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0.0000"/>
    <numFmt numFmtId="166" formatCode="0.000E+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0" xfId="0" applyFill="1"/>
    <xf numFmtId="0" fontId="0" fillId="2" borderId="1" xfId="0" applyFill="1" applyBorder="1"/>
    <xf numFmtId="2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/>
    <xf numFmtId="43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/>
    <xf numFmtId="0" fontId="0" fillId="0" borderId="10" xfId="0" applyBorder="1"/>
    <xf numFmtId="0" fontId="0" fillId="0" borderId="11" xfId="0" applyBorder="1"/>
    <xf numFmtId="0" fontId="0" fillId="0" borderId="12" xfId="0" applyBorder="1"/>
    <xf numFmtId="2" fontId="0" fillId="0" borderId="13" xfId="0" applyNumberFormat="1" applyBorder="1"/>
    <xf numFmtId="0" fontId="0" fillId="0" borderId="14" xfId="0" applyBorder="1"/>
    <xf numFmtId="2" fontId="0" fillId="0" borderId="15" xfId="0" applyNumberFormat="1" applyBorder="1"/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0" fillId="0" borderId="1" xfId="0" applyFill="1" applyBorder="1" applyAlignment="1"/>
    <xf numFmtId="0" fontId="0" fillId="0" borderId="14" xfId="0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/>
    </xf>
    <xf numFmtId="1" fontId="0" fillId="0" borderId="2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0" borderId="6" xfId="0" applyBorder="1" applyAlignment="1"/>
    <xf numFmtId="164" fontId="0" fillId="2" borderId="1" xfId="0" applyNumberFormat="1" applyFill="1" applyBorder="1" applyAlignment="1">
      <alignment horizontal="center"/>
    </xf>
    <xf numFmtId="0" fontId="0" fillId="0" borderId="21" xfId="0" applyFill="1" applyBorder="1"/>
    <xf numFmtId="43" fontId="0" fillId="0" borderId="1" xfId="0" applyNumberFormat="1" applyBorder="1" applyAlignment="1">
      <alignment horizontal="left"/>
    </xf>
    <xf numFmtId="0" fontId="0" fillId="0" borderId="1" xfId="0" applyFill="1" applyBorder="1"/>
    <xf numFmtId="2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/>
    <xf numFmtId="164" fontId="0" fillId="0" borderId="17" xfId="0" applyNumberForma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2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/>
    <xf numFmtId="2" fontId="0" fillId="0" borderId="0" xfId="0" applyNumberFormat="1"/>
    <xf numFmtId="164" fontId="0" fillId="0" borderId="1" xfId="0" applyNumberFormat="1" applyBorder="1"/>
    <xf numFmtId="2" fontId="0" fillId="0" borderId="1" xfId="0" applyNumberFormat="1" applyBorder="1"/>
    <xf numFmtId="1" fontId="0" fillId="0" borderId="1" xfId="0" applyNumberFormat="1" applyBorder="1"/>
    <xf numFmtId="2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Fill="1" applyBorder="1"/>
    <xf numFmtId="2" fontId="0" fillId="0" borderId="0" xfId="0" applyNumberFormat="1" applyBorder="1"/>
    <xf numFmtId="1" fontId="0" fillId="0" borderId="0" xfId="0" applyNumberFormat="1" applyBorder="1"/>
    <xf numFmtId="0" fontId="0" fillId="0" borderId="7" xfId="0" applyBorder="1"/>
    <xf numFmtId="2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right"/>
    </xf>
    <xf numFmtId="2" fontId="0" fillId="0" borderId="22" xfId="0" applyNumberFormat="1" applyBorder="1" applyAlignment="1">
      <alignment horizontal="center"/>
    </xf>
    <xf numFmtId="2" fontId="0" fillId="2" borderId="0" xfId="0" applyNumberFormat="1" applyFill="1" applyBorder="1"/>
    <xf numFmtId="0" fontId="0" fillId="2" borderId="4" xfId="0" applyFill="1" applyBorder="1"/>
    <xf numFmtId="0" fontId="0" fillId="0" borderId="0" xfId="0" applyBorder="1" applyAlignment="1">
      <alignment horizontal="right"/>
    </xf>
    <xf numFmtId="0" fontId="0" fillId="2" borderId="3" xfId="0" applyFill="1" applyBorder="1"/>
    <xf numFmtId="2" fontId="0" fillId="2" borderId="23" xfId="0" applyNumberFormat="1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/>
    <xf numFmtId="166" fontId="0" fillId="0" borderId="22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7" xfId="0" applyFill="1" applyBorder="1"/>
    <xf numFmtId="0" fontId="0" fillId="4" borderId="1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6" borderId="1" xfId="0" applyFill="1" applyBorder="1"/>
    <xf numFmtId="1" fontId="0" fillId="6" borderId="1" xfId="0" applyNumberFormat="1" applyFill="1" applyBorder="1" applyAlignment="1">
      <alignment horizontal="center"/>
    </xf>
    <xf numFmtId="9" fontId="0" fillId="4" borderId="1" xfId="2" applyFont="1" applyFill="1" applyBorder="1" applyAlignment="1">
      <alignment horizontal="center"/>
    </xf>
    <xf numFmtId="9" fontId="0" fillId="6" borderId="1" xfId="2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9" fontId="0" fillId="7" borderId="1" xfId="2" applyFon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0" fontId="0" fillId="6" borderId="17" xfId="0" applyFill="1" applyBorder="1"/>
    <xf numFmtId="1" fontId="0" fillId="8" borderId="1" xfId="0" applyNumberFormat="1" applyFill="1" applyBorder="1" applyAlignment="1">
      <alignment horizontal="center"/>
    </xf>
    <xf numFmtId="0" fontId="0" fillId="9" borderId="1" xfId="0" applyFill="1" applyBorder="1"/>
    <xf numFmtId="164" fontId="0" fillId="9" borderId="1" xfId="0" applyNumberFormat="1" applyFill="1" applyBorder="1" applyAlignment="1">
      <alignment horizontal="center"/>
    </xf>
    <xf numFmtId="9" fontId="0" fillId="9" borderId="1" xfId="2" applyFon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0" fontId="0" fillId="3" borderId="1" xfId="0" applyFill="1" applyBorder="1"/>
    <xf numFmtId="164" fontId="0" fillId="3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right"/>
    </xf>
    <xf numFmtId="2" fontId="0" fillId="2" borderId="0" xfId="0" applyNumberForma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0" xfId="0"/>
    <xf numFmtId="2" fontId="0" fillId="0" borderId="0" xfId="0" applyNumberFormat="1"/>
    <xf numFmtId="2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6" xfId="0" applyFill="1" applyBorder="1" applyAlignment="1">
      <alignment horizontal="right"/>
    </xf>
    <xf numFmtId="0" fontId="1" fillId="2" borderId="6" xfId="0" applyFon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0" fontId="0" fillId="0" borderId="2" xfId="0" applyBorder="1" applyAlignment="1"/>
    <xf numFmtId="0" fontId="0" fillId="0" borderId="2" xfId="0" applyFill="1" applyBorder="1" applyAlignment="1"/>
    <xf numFmtId="0" fontId="0" fillId="11" borderId="0" xfId="0" applyFill="1"/>
    <xf numFmtId="0" fontId="0" fillId="11" borderId="0" xfId="0" applyFill="1" applyAlignment="1">
      <alignment horizontal="center"/>
    </xf>
    <xf numFmtId="2" fontId="0" fillId="11" borderId="0" xfId="0" applyNumberFormat="1" applyFill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2" borderId="18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0" borderId="1" xfId="0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zoomScale="70" zoomScaleNormal="70" workbookViewId="0">
      <selection activeCell="E6" sqref="E6"/>
    </sheetView>
  </sheetViews>
  <sheetFormatPr baseColWidth="10" defaultRowHeight="15" x14ac:dyDescent="0.25"/>
  <cols>
    <col min="2" max="2" width="22.42578125" bestFit="1" customWidth="1"/>
    <col min="3" max="3" width="15.85546875" bestFit="1" customWidth="1"/>
    <col min="4" max="4" width="16.42578125" bestFit="1" customWidth="1"/>
    <col min="5" max="5" width="18.85546875" bestFit="1" customWidth="1"/>
    <col min="6" max="6" width="19.28515625" bestFit="1" customWidth="1"/>
    <col min="8" max="8" width="25.85546875" bestFit="1" customWidth="1"/>
    <col min="9" max="9" width="11.85546875" bestFit="1" customWidth="1"/>
  </cols>
  <sheetData>
    <row r="2" spans="2:10" ht="15.75" thickBot="1" x14ac:dyDescent="0.3">
      <c r="B2" s="19" t="s">
        <v>52</v>
      </c>
      <c r="C2" s="2" t="s">
        <v>55</v>
      </c>
      <c r="D2" s="11" t="s">
        <v>54</v>
      </c>
    </row>
    <row r="3" spans="2:10" x14ac:dyDescent="0.25">
      <c r="B3" s="9" t="s">
        <v>53</v>
      </c>
      <c r="C3" s="12">
        <v>-1.8</v>
      </c>
      <c r="D3" s="10" t="s">
        <v>56</v>
      </c>
      <c r="H3" s="25" t="s">
        <v>97</v>
      </c>
      <c r="I3" s="26"/>
    </row>
    <row r="4" spans="2:10" x14ac:dyDescent="0.25">
      <c r="B4" s="4" t="s">
        <v>130</v>
      </c>
      <c r="C4" s="43">
        <v>10</v>
      </c>
      <c r="D4" s="10" t="s">
        <v>56</v>
      </c>
      <c r="H4" s="27" t="s">
        <v>98</v>
      </c>
      <c r="I4" s="28">
        <f>101.325/(0.28*298.15)</f>
        <v>1.2137346973000167</v>
      </c>
    </row>
    <row r="5" spans="2:10" ht="15.75" thickBot="1" x14ac:dyDescent="0.3">
      <c r="B5" s="50" t="s">
        <v>131</v>
      </c>
      <c r="C5" s="43">
        <v>0</v>
      </c>
      <c r="D5" s="10" t="s">
        <v>56</v>
      </c>
      <c r="H5" s="29" t="s">
        <v>99</v>
      </c>
      <c r="I5" s="30">
        <f>(101325-I4*9.81*323)/1000</f>
        <v>97.479123826094252</v>
      </c>
    </row>
    <row r="6" spans="2:10" x14ac:dyDescent="0.25">
      <c r="B6" s="50" t="s">
        <v>132</v>
      </c>
      <c r="C6" s="3">
        <v>21</v>
      </c>
      <c r="D6" s="132" t="s">
        <v>56</v>
      </c>
    </row>
    <row r="7" spans="2:10" x14ac:dyDescent="0.25">
      <c r="B7" s="4" t="s">
        <v>50</v>
      </c>
      <c r="C7" s="8">
        <f>I5/(0.28*(C3+273.15))</f>
        <v>1.2829914426030464</v>
      </c>
      <c r="D7" s="132" t="s">
        <v>91</v>
      </c>
    </row>
    <row r="8" spans="2:10" x14ac:dyDescent="0.25">
      <c r="B8" s="4" t="s">
        <v>51</v>
      </c>
      <c r="C8" s="2">
        <v>1</v>
      </c>
      <c r="D8" s="132" t="s">
        <v>92</v>
      </c>
    </row>
    <row r="9" spans="2:10" x14ac:dyDescent="0.25">
      <c r="B9" s="4" t="s">
        <v>90</v>
      </c>
      <c r="C9" s="2">
        <v>335</v>
      </c>
      <c r="D9" s="132" t="s">
        <v>327</v>
      </c>
    </row>
    <row r="10" spans="2:10" x14ac:dyDescent="0.25">
      <c r="B10" s="50" t="s">
        <v>325</v>
      </c>
      <c r="C10" s="3">
        <v>0.5</v>
      </c>
      <c r="D10" s="132" t="s">
        <v>326</v>
      </c>
    </row>
    <row r="13" spans="2:10" x14ac:dyDescent="0.25">
      <c r="B13" s="159" t="s">
        <v>135</v>
      </c>
      <c r="C13" s="160"/>
      <c r="D13" s="160"/>
      <c r="E13" s="160"/>
      <c r="F13" s="161"/>
    </row>
    <row r="14" spans="2:10" x14ac:dyDescent="0.25">
      <c r="B14" s="43" t="s">
        <v>94</v>
      </c>
      <c r="C14" s="43" t="s">
        <v>95</v>
      </c>
      <c r="D14" s="3" t="s">
        <v>126</v>
      </c>
      <c r="E14" s="3" t="s">
        <v>127</v>
      </c>
      <c r="F14" s="43" t="s">
        <v>128</v>
      </c>
      <c r="H14" s="22"/>
      <c r="I14" s="22"/>
      <c r="J14" s="22"/>
    </row>
    <row r="15" spans="2:10" x14ac:dyDescent="0.25">
      <c r="B15" s="43">
        <v>2005</v>
      </c>
      <c r="C15" s="13">
        <v>5.9</v>
      </c>
      <c r="D15" s="13">
        <v>18</v>
      </c>
      <c r="E15" s="43">
        <v>-5.7</v>
      </c>
      <c r="F15" s="43">
        <v>38.6</v>
      </c>
      <c r="H15" s="78"/>
      <c r="I15" s="78"/>
      <c r="J15" s="78"/>
    </row>
    <row r="16" spans="2:10" x14ac:dyDescent="0.25">
      <c r="B16" s="43">
        <f>B15+1</f>
        <v>2006</v>
      </c>
      <c r="C16" s="13">
        <v>6</v>
      </c>
      <c r="D16" s="43">
        <v>18.100000000000001</v>
      </c>
      <c r="E16" s="43">
        <v>-4.0999999999999996</v>
      </c>
      <c r="F16" s="43">
        <v>35.9</v>
      </c>
      <c r="H16" s="78"/>
      <c r="I16" s="78"/>
      <c r="J16" s="78"/>
    </row>
    <row r="17" spans="2:10" x14ac:dyDescent="0.25">
      <c r="B17" s="43">
        <f t="shared" ref="B17:B25" si="0">B16+1</f>
        <v>2007</v>
      </c>
      <c r="C17" s="13">
        <v>5</v>
      </c>
      <c r="D17" s="43">
        <v>17.5</v>
      </c>
      <c r="E17" s="43">
        <v>-8.1</v>
      </c>
      <c r="F17" s="43">
        <v>37.5</v>
      </c>
      <c r="G17" s="48"/>
      <c r="H17" s="78"/>
      <c r="I17" s="78"/>
      <c r="J17" s="78"/>
    </row>
    <row r="18" spans="2:10" x14ac:dyDescent="0.25">
      <c r="B18" s="43">
        <f t="shared" si="0"/>
        <v>2008</v>
      </c>
      <c r="C18" s="44">
        <v>6.6</v>
      </c>
      <c r="D18" s="43">
        <v>19.2</v>
      </c>
      <c r="E18" s="43">
        <v>-4.0999999999999996</v>
      </c>
      <c r="F18" s="43">
        <v>37.299999999999997</v>
      </c>
      <c r="H18" s="78"/>
      <c r="I18" s="78"/>
      <c r="J18" s="78"/>
    </row>
    <row r="19" spans="2:10" x14ac:dyDescent="0.25">
      <c r="B19" s="43">
        <f t="shared" si="0"/>
        <v>2009</v>
      </c>
      <c r="C19" s="44">
        <v>5.9</v>
      </c>
      <c r="D19" s="43">
        <v>17.899999999999999</v>
      </c>
      <c r="E19" s="43">
        <v>-5.2</v>
      </c>
      <c r="F19" s="43">
        <v>35.1</v>
      </c>
      <c r="H19" s="78"/>
      <c r="I19" s="78"/>
      <c r="J19" s="78"/>
    </row>
    <row r="20" spans="2:10" x14ac:dyDescent="0.25">
      <c r="B20" s="43">
        <f t="shared" si="0"/>
        <v>2010</v>
      </c>
      <c r="C20" s="44">
        <v>5.7</v>
      </c>
      <c r="D20" s="43">
        <v>17.2</v>
      </c>
      <c r="E20" s="43">
        <v>-4.7</v>
      </c>
      <c r="F20" s="43">
        <f>(28.6+31.9+28+26.3+21.7+15.7+20.7+17.8+23.9+23.8+27.8)/11</f>
        <v>24.2</v>
      </c>
      <c r="H20" s="78"/>
      <c r="I20" s="78"/>
      <c r="J20" s="78"/>
    </row>
    <row r="21" spans="2:10" x14ac:dyDescent="0.25">
      <c r="B21" s="43">
        <f t="shared" si="0"/>
        <v>2011</v>
      </c>
      <c r="C21" s="44">
        <v>6.1</v>
      </c>
      <c r="D21" s="43">
        <v>18.100000000000001</v>
      </c>
      <c r="E21" s="43">
        <v>-4.2</v>
      </c>
      <c r="F21" s="43">
        <v>36.9</v>
      </c>
      <c r="H21" s="78"/>
      <c r="I21" s="78"/>
      <c r="J21" s="78"/>
    </row>
    <row r="22" spans="2:10" x14ac:dyDescent="0.25">
      <c r="B22" s="43">
        <f t="shared" si="0"/>
        <v>2012</v>
      </c>
      <c r="C22" s="43">
        <v>6.4</v>
      </c>
      <c r="D22" s="43">
        <v>18.3</v>
      </c>
      <c r="E22" s="43">
        <v>-4.5999999999999996</v>
      </c>
      <c r="F22" s="53">
        <v>36</v>
      </c>
      <c r="H22" s="78"/>
      <c r="I22" s="78"/>
      <c r="J22" s="78"/>
    </row>
    <row r="23" spans="2:10" x14ac:dyDescent="0.25">
      <c r="B23" s="43">
        <f t="shared" si="0"/>
        <v>2013</v>
      </c>
      <c r="C23" s="43">
        <v>6.3</v>
      </c>
      <c r="D23" s="43">
        <v>18.600000000000001</v>
      </c>
      <c r="E23" s="43">
        <v>-5.4</v>
      </c>
      <c r="F23" s="43">
        <v>36.5</v>
      </c>
      <c r="G23" s="60"/>
      <c r="H23" s="78"/>
      <c r="I23" s="78"/>
      <c r="J23" s="78"/>
    </row>
    <row r="24" spans="2:10" x14ac:dyDescent="0.25">
      <c r="B24" s="43">
        <f t="shared" si="0"/>
        <v>2014</v>
      </c>
      <c r="C24" s="13">
        <f>(8.1+8.1+7.5+5.5+6.7+4.5)/6</f>
        <v>6.7333333333333334</v>
      </c>
      <c r="D24" s="13">
        <f>(26.6+24.8+21.3+16.9+14.9+11.5)/6</f>
        <v>19.333333333333332</v>
      </c>
      <c r="E24" s="43">
        <v>-2.5</v>
      </c>
      <c r="F24" s="43">
        <v>33.299999999999997</v>
      </c>
    </row>
    <row r="25" spans="2:10" ht="15.75" thickBot="1" x14ac:dyDescent="0.3">
      <c r="B25" s="43">
        <f t="shared" si="0"/>
        <v>2015</v>
      </c>
      <c r="C25" s="13">
        <v>0</v>
      </c>
      <c r="D25" s="43">
        <v>19.3</v>
      </c>
      <c r="E25" s="43">
        <v>-3.8</v>
      </c>
      <c r="F25" s="43">
        <v>35.799999999999997</v>
      </c>
    </row>
    <row r="26" spans="2:10" ht="15.75" thickBot="1" x14ac:dyDescent="0.3">
      <c r="B26" s="17" t="s">
        <v>93</v>
      </c>
      <c r="C26" s="45">
        <f>AVERAGE(C15:C25)</f>
        <v>5.5121212121212118</v>
      </c>
      <c r="D26" s="45">
        <f>AVERAGE(D15:D25)</f>
        <v>18.321212121212124</v>
      </c>
      <c r="E26" s="45">
        <f>AVERAGE(E15:E25)</f>
        <v>-4.7636363636363637</v>
      </c>
      <c r="F26" s="18">
        <f>AVERAGE(F15:F25)</f>
        <v>35.190909090909095</v>
      </c>
    </row>
  </sheetData>
  <mergeCells count="1">
    <mergeCell ref="B13:F1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0"/>
  <sheetViews>
    <sheetView topLeftCell="B1" workbookViewId="0">
      <selection activeCell="H17" sqref="H17"/>
    </sheetView>
  </sheetViews>
  <sheetFormatPr baseColWidth="10" defaultRowHeight="15" x14ac:dyDescent="0.25"/>
  <cols>
    <col min="3" max="3" width="23.85546875" bestFit="1" customWidth="1"/>
    <col min="4" max="4" width="23.28515625" bestFit="1" customWidth="1"/>
    <col min="5" max="5" width="28.7109375" bestFit="1" customWidth="1"/>
    <col min="6" max="7" width="23.5703125" bestFit="1" customWidth="1"/>
    <col min="8" max="8" width="19.7109375" bestFit="1" customWidth="1"/>
  </cols>
  <sheetData>
    <row r="2" spans="3:8" x14ac:dyDescent="0.25">
      <c r="C2" s="177" t="s">
        <v>66</v>
      </c>
      <c r="D2" s="177"/>
      <c r="E2" s="177"/>
      <c r="F2" s="177"/>
      <c r="G2" s="177"/>
      <c r="H2" s="177"/>
    </row>
    <row r="4" spans="3:8" x14ac:dyDescent="0.25">
      <c r="C4" t="s">
        <v>58</v>
      </c>
    </row>
    <row r="5" spans="3:8" x14ac:dyDescent="0.25">
      <c r="C5" s="32" t="s">
        <v>40</v>
      </c>
      <c r="D5" s="21" t="s">
        <v>102</v>
      </c>
      <c r="E5" s="21" t="s">
        <v>106</v>
      </c>
      <c r="F5" s="21" t="s">
        <v>105</v>
      </c>
      <c r="G5" s="21" t="s">
        <v>104</v>
      </c>
      <c r="H5" s="21" t="s">
        <v>103</v>
      </c>
    </row>
    <row r="6" spans="3:8" x14ac:dyDescent="0.25">
      <c r="C6" s="32" t="s">
        <v>43</v>
      </c>
      <c r="D6" s="8">
        <f>6.55*3</f>
        <v>19.649999999999999</v>
      </c>
      <c r="E6" s="2">
        <v>0.7</v>
      </c>
      <c r="F6" s="13">
        <f>'INFORMACION INICIAL'!C4</f>
        <v>10</v>
      </c>
      <c r="G6" s="43">
        <f>'INFORMACION INICIAL'!C6</f>
        <v>21</v>
      </c>
      <c r="H6" s="13">
        <f t="shared" ref="H6:H12" si="0">D6*E6*(G6-F6)</f>
        <v>151.30499999999998</v>
      </c>
    </row>
    <row r="7" spans="3:8" x14ac:dyDescent="0.25">
      <c r="C7" s="32" t="s">
        <v>44</v>
      </c>
      <c r="D7" s="8">
        <f>D6</f>
        <v>19.649999999999999</v>
      </c>
      <c r="E7" s="2">
        <v>0.7</v>
      </c>
      <c r="F7" s="13">
        <f>'INFORMACION INICIAL'!C4</f>
        <v>10</v>
      </c>
      <c r="G7" s="43">
        <f>'INFORMACION INICIAL'!C6</f>
        <v>21</v>
      </c>
      <c r="H7" s="13">
        <f t="shared" si="0"/>
        <v>151.30499999999998</v>
      </c>
    </row>
    <row r="8" spans="3:8" x14ac:dyDescent="0.25">
      <c r="C8" s="32" t="s">
        <v>45</v>
      </c>
      <c r="D8" s="8">
        <f>7.03*3-2*4</f>
        <v>13.09</v>
      </c>
      <c r="E8" s="2">
        <v>0.7</v>
      </c>
      <c r="F8" s="13">
        <f>'INFORMACION INICIAL'!C3</f>
        <v>-1.8</v>
      </c>
      <c r="G8" s="43">
        <f>'INFORMACION INICIAL'!C6</f>
        <v>21</v>
      </c>
      <c r="H8" s="13">
        <f t="shared" si="0"/>
        <v>208.91639999999998</v>
      </c>
    </row>
    <row r="9" spans="3:8" x14ac:dyDescent="0.25">
      <c r="C9" s="32" t="s">
        <v>46</v>
      </c>
      <c r="D9" s="8">
        <f>7.03*3-2*4.3</f>
        <v>12.49</v>
      </c>
      <c r="E9" s="2">
        <v>0.7</v>
      </c>
      <c r="F9" s="13">
        <f>'INFORMACION INICIAL'!C3</f>
        <v>-1.8</v>
      </c>
      <c r="G9" s="43">
        <f>'INFORMACION INICIAL'!C6</f>
        <v>21</v>
      </c>
      <c r="H9" s="13">
        <f t="shared" si="0"/>
        <v>199.34040000000002</v>
      </c>
    </row>
    <row r="10" spans="3:8" x14ac:dyDescent="0.25">
      <c r="C10" s="32" t="s">
        <v>49</v>
      </c>
      <c r="D10" s="8">
        <f>2*(4.3+4)</f>
        <v>16.600000000000001</v>
      </c>
      <c r="E10" s="2">
        <v>1.9</v>
      </c>
      <c r="F10" s="13">
        <f>'INFORMACION INICIAL'!C3</f>
        <v>-1.8</v>
      </c>
      <c r="G10" s="43">
        <f>'INFORMACION INICIAL'!C6</f>
        <v>21</v>
      </c>
      <c r="H10" s="13">
        <f t="shared" si="0"/>
        <v>719.11200000000008</v>
      </c>
    </row>
    <row r="11" spans="3:8" x14ac:dyDescent="0.25">
      <c r="C11" s="32" t="s">
        <v>47</v>
      </c>
      <c r="D11" s="8">
        <f>D12</f>
        <v>40.138800000000003</v>
      </c>
      <c r="E11" s="2">
        <v>0.33</v>
      </c>
      <c r="F11" s="13">
        <f>'INFORMACION INICIAL'!C3</f>
        <v>-1.8</v>
      </c>
      <c r="G11" s="43">
        <f>'INFORMACION INICIAL'!C6</f>
        <v>21</v>
      </c>
      <c r="H11" s="13">
        <f t="shared" si="0"/>
        <v>302.00433120000002</v>
      </c>
    </row>
    <row r="12" spans="3:8" x14ac:dyDescent="0.25">
      <c r="C12" s="32" t="s">
        <v>48</v>
      </c>
      <c r="D12" s="8">
        <f>'VENTILACION SUPER-PERS'!D15</f>
        <v>40.138800000000003</v>
      </c>
      <c r="E12" s="2">
        <v>0.33</v>
      </c>
      <c r="F12" s="13">
        <f>'INFORMACION INICIAL'!C5</f>
        <v>0</v>
      </c>
      <c r="G12" s="43">
        <f>'INFORMACION INICIAL'!C6</f>
        <v>21</v>
      </c>
      <c r="H12" s="13">
        <f t="shared" si="0"/>
        <v>278.16188400000004</v>
      </c>
    </row>
    <row r="13" spans="3:8" x14ac:dyDescent="0.25">
      <c r="C13" s="4"/>
      <c r="D13" s="4"/>
      <c r="E13" s="4"/>
      <c r="F13" s="4"/>
      <c r="G13" s="21" t="s">
        <v>59</v>
      </c>
      <c r="H13" s="8">
        <f>SUM(H6:H12)</f>
        <v>2010.1450152000002</v>
      </c>
    </row>
    <row r="14" spans="3:8" x14ac:dyDescent="0.25">
      <c r="C14" t="s">
        <v>41</v>
      </c>
    </row>
    <row r="15" spans="3:8" x14ac:dyDescent="0.25">
      <c r="C15" s="21" t="s">
        <v>100</v>
      </c>
      <c r="D15" s="21" t="s">
        <v>101</v>
      </c>
      <c r="E15" s="21" t="s">
        <v>105</v>
      </c>
      <c r="F15" s="21" t="s">
        <v>104</v>
      </c>
      <c r="G15" s="21" t="s">
        <v>103</v>
      </c>
    </row>
    <row r="16" spans="3:8" x14ac:dyDescent="0.25">
      <c r="C16" s="2">
        <f>'INFORMACION INICIAL'!C10</f>
        <v>0.5</v>
      </c>
      <c r="D16" s="8">
        <f>D12*3</f>
        <v>120.41640000000001</v>
      </c>
      <c r="E16" s="13">
        <f>'INFORMACION INICIAL'!C3</f>
        <v>-1.8</v>
      </c>
      <c r="F16" s="43">
        <f>'INFORMACION INICIAL'!C6</f>
        <v>21</v>
      </c>
      <c r="G16" s="8">
        <f>C16*D16*(F16-E16)*'INFORMACION INICIAL'!C7*'INFORMACION INICIAL'!C8/3.6</f>
        <v>489.22850070537407</v>
      </c>
    </row>
    <row r="18" spans="3:6" x14ac:dyDescent="0.25">
      <c r="C18" t="s">
        <v>42</v>
      </c>
    </row>
    <row r="19" spans="3:6" x14ac:dyDescent="0.25">
      <c r="C19" s="21" t="s">
        <v>107</v>
      </c>
      <c r="D19" s="21" t="s">
        <v>105</v>
      </c>
      <c r="E19" s="21" t="s">
        <v>104</v>
      </c>
      <c r="F19" s="21" t="s">
        <v>103</v>
      </c>
    </row>
    <row r="20" spans="3:6" x14ac:dyDescent="0.25">
      <c r="C20" s="8">
        <f>'VENTILACION SUPER-PERS'!H15*3.6</f>
        <v>522.56214</v>
      </c>
      <c r="D20" s="13">
        <f>'INFORMACION INICIAL'!C3</f>
        <v>-1.8</v>
      </c>
      <c r="E20" s="43">
        <f>'INFORMACION INICIAL'!C6</f>
        <v>21</v>
      </c>
      <c r="F20" s="8">
        <f>C20*(E20-D20)*'INFORMACION INICIAL'!C7*'INFORMACION INICIAL'!C8/3.6</f>
        <v>4246.1374410394556</v>
      </c>
    </row>
  </sheetData>
  <mergeCells count="1">
    <mergeCell ref="C2:H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B17" sqref="B17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67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8">
        <f>6.45*3</f>
        <v>19.350000000000001</v>
      </c>
      <c r="D6" s="21">
        <v>0.7</v>
      </c>
      <c r="E6" s="13">
        <f>'INFORMACION INICIAL'!C3</f>
        <v>-1.8</v>
      </c>
      <c r="F6" s="43">
        <f>'INFORMACION INICIAL'!C6</f>
        <v>21</v>
      </c>
      <c r="G6" s="13">
        <f t="shared" ref="G6:G12" si="0">C6*D6*(F6-E6)</f>
        <v>308.82600000000002</v>
      </c>
    </row>
    <row r="7" spans="2:7" x14ac:dyDescent="0.25">
      <c r="B7" s="32" t="s">
        <v>44</v>
      </c>
      <c r="C7" s="8">
        <f>6.45*3</f>
        <v>19.350000000000001</v>
      </c>
      <c r="D7" s="21">
        <v>0.7</v>
      </c>
      <c r="E7" s="13">
        <f>'INFORMACION INICIAL'!C4</f>
        <v>10</v>
      </c>
      <c r="F7" s="43">
        <f>'INFORMACION INICIAL'!C6</f>
        <v>21</v>
      </c>
      <c r="G7" s="13">
        <f t="shared" si="0"/>
        <v>148.995</v>
      </c>
    </row>
    <row r="8" spans="2:7" x14ac:dyDescent="0.25">
      <c r="B8" s="32" t="s">
        <v>45</v>
      </c>
      <c r="C8" s="8">
        <f>7.55*3-2*4</f>
        <v>14.649999999999999</v>
      </c>
      <c r="D8" s="21">
        <v>0.7</v>
      </c>
      <c r="E8" s="13">
        <f>'INFORMACION INICIAL'!C3</f>
        <v>-1.8</v>
      </c>
      <c r="F8" s="43">
        <f>'INFORMACION INICIAL'!C6</f>
        <v>21</v>
      </c>
      <c r="G8" s="13">
        <f t="shared" si="0"/>
        <v>233.81399999999999</v>
      </c>
    </row>
    <row r="9" spans="2:7" x14ac:dyDescent="0.25">
      <c r="B9" s="32" t="s">
        <v>46</v>
      </c>
      <c r="C9" s="8">
        <f>7.55*3-4.3*2</f>
        <v>14.049999999999999</v>
      </c>
      <c r="D9" s="21">
        <v>0.7</v>
      </c>
      <c r="E9" s="13">
        <f>'INFORMACION INICIAL'!C3</f>
        <v>-1.8</v>
      </c>
      <c r="F9" s="43">
        <f>'INFORMACION INICIAL'!C6</f>
        <v>21</v>
      </c>
      <c r="G9" s="13">
        <f t="shared" si="0"/>
        <v>224.238</v>
      </c>
    </row>
    <row r="10" spans="2:7" x14ac:dyDescent="0.25">
      <c r="B10" s="32" t="s">
        <v>49</v>
      </c>
      <c r="C10" s="8">
        <f>2*(4.3+4)</f>
        <v>16.600000000000001</v>
      </c>
      <c r="D10" s="21">
        <v>1.9</v>
      </c>
      <c r="E10" s="13">
        <f>'INFORMACION INICIAL'!C3</f>
        <v>-1.8</v>
      </c>
      <c r="F10" s="43">
        <f>'INFORMACION INICIAL'!C6</f>
        <v>21</v>
      </c>
      <c r="G10" s="13">
        <f t="shared" si="0"/>
        <v>719.11200000000008</v>
      </c>
    </row>
    <row r="11" spans="2:7" x14ac:dyDescent="0.25">
      <c r="B11" s="32" t="s">
        <v>47</v>
      </c>
      <c r="C11" s="8">
        <f>C12</f>
        <v>39.782499999999999</v>
      </c>
      <c r="D11" s="21">
        <v>0.33</v>
      </c>
      <c r="E11" s="13">
        <f>'INFORMACION INICIAL'!C3</f>
        <v>-1.8</v>
      </c>
      <c r="F11" s="43">
        <f>'INFORMACION INICIAL'!C6</f>
        <v>21</v>
      </c>
      <c r="G11" s="13">
        <f t="shared" si="0"/>
        <v>299.32353000000001</v>
      </c>
    </row>
    <row r="12" spans="2:7" x14ac:dyDescent="0.25">
      <c r="B12" s="32" t="s">
        <v>48</v>
      </c>
      <c r="C12" s="8">
        <f>'VENTILACION SUPER-PERS'!D19</f>
        <v>39.782499999999999</v>
      </c>
      <c r="D12" s="21">
        <v>0.33</v>
      </c>
      <c r="E12" s="13">
        <f>'INFORMACION INICIAL'!C5</f>
        <v>0</v>
      </c>
      <c r="F12" s="43">
        <f>'INFORMACION INICIAL'!C6</f>
        <v>21</v>
      </c>
      <c r="G12" s="13">
        <f t="shared" si="0"/>
        <v>275.692725</v>
      </c>
    </row>
    <row r="13" spans="2:7" x14ac:dyDescent="0.25">
      <c r="B13" s="4"/>
      <c r="C13" s="4"/>
      <c r="D13" s="4"/>
      <c r="E13" s="4"/>
      <c r="F13" s="21" t="s">
        <v>59</v>
      </c>
      <c r="G13" s="13">
        <f>SUM(G6:G12)</f>
        <v>2210.0012550000001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21">
        <f>'INFORMACION INICIAL'!C10</f>
        <v>0.5</v>
      </c>
      <c r="C16" s="8">
        <f>C12*3</f>
        <v>119.3475</v>
      </c>
      <c r="D16" s="13">
        <f>'INFORMACION INICIAL'!C3</f>
        <v>-1.8</v>
      </c>
      <c r="E16" s="43">
        <f>'INFORMACION INICIAL'!C6</f>
        <v>21</v>
      </c>
      <c r="F16" s="8">
        <f>B16*C16*(E16-D16)*'INFORMACION INICIAL'!C7*'INFORMACION INICIAL'!C8/3.6</f>
        <v>484.88576712087905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SUPER-PERS'!H19*3.6</f>
        <v>521.11912499999994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4234.4120603613183</v>
      </c>
    </row>
  </sheetData>
  <mergeCells count="1">
    <mergeCell ref="B2:G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B17" sqref="B17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68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8">
        <f>7.5*3-C10</f>
        <v>14.5</v>
      </c>
      <c r="D6" s="21">
        <v>0.7</v>
      </c>
      <c r="E6" s="13">
        <f>'INFORMACION INICIAL'!C3</f>
        <v>-1.8</v>
      </c>
      <c r="F6" s="43">
        <f>'INFORMACION INICIAL'!C6</f>
        <v>21</v>
      </c>
      <c r="G6" s="8">
        <f t="shared" ref="G6:G12" si="0">C6*D6*(F6-E6)</f>
        <v>231.42</v>
      </c>
    </row>
    <row r="7" spans="2:7" x14ac:dyDescent="0.25">
      <c r="B7" s="32" t="s">
        <v>44</v>
      </c>
      <c r="C7" s="8">
        <f>7.5*3</f>
        <v>22.5</v>
      </c>
      <c r="D7" s="21">
        <v>0.7</v>
      </c>
      <c r="E7" s="13">
        <f>'INFORMACION INICIAL'!C4</f>
        <v>10</v>
      </c>
      <c r="F7" s="43">
        <f>'INFORMACION INICIAL'!C6</f>
        <v>21</v>
      </c>
      <c r="G7" s="8">
        <f t="shared" si="0"/>
        <v>173.24999999999997</v>
      </c>
    </row>
    <row r="8" spans="2:7" x14ac:dyDescent="0.25">
      <c r="B8" s="32" t="s">
        <v>45</v>
      </c>
      <c r="C8" s="8">
        <f>6.35*3</f>
        <v>19.049999999999997</v>
      </c>
      <c r="D8" s="21">
        <v>0.7</v>
      </c>
      <c r="E8" s="13">
        <f>'INFORMACION INICIAL'!C4</f>
        <v>10</v>
      </c>
      <c r="F8" s="43">
        <f>'INFORMACION INICIAL'!C6</f>
        <v>21</v>
      </c>
      <c r="G8" s="8">
        <f t="shared" si="0"/>
        <v>146.68499999999997</v>
      </c>
    </row>
    <row r="9" spans="2:7" x14ac:dyDescent="0.25">
      <c r="B9" s="32" t="s">
        <v>46</v>
      </c>
      <c r="C9" s="8">
        <f>6.35*3</f>
        <v>19.049999999999997</v>
      </c>
      <c r="D9" s="21">
        <v>0.7</v>
      </c>
      <c r="E9" s="13">
        <f>'INFORMACION INICIAL'!C3</f>
        <v>-1.8</v>
      </c>
      <c r="F9" s="43">
        <f>'INFORMACION INICIAL'!C6</f>
        <v>21</v>
      </c>
      <c r="G9" s="8">
        <f t="shared" si="0"/>
        <v>304.03799999999995</v>
      </c>
    </row>
    <row r="10" spans="2:7" x14ac:dyDescent="0.25">
      <c r="B10" s="32" t="s">
        <v>49</v>
      </c>
      <c r="C10" s="8">
        <f>3.2*2.5</f>
        <v>8</v>
      </c>
      <c r="D10" s="21">
        <v>1.9</v>
      </c>
      <c r="E10" s="13">
        <f>'INFORMACION INICIAL'!C3</f>
        <v>-1.8</v>
      </c>
      <c r="F10" s="43">
        <f>'INFORMACION INICIAL'!C6</f>
        <v>21</v>
      </c>
      <c r="G10" s="8">
        <f t="shared" si="0"/>
        <v>346.56</v>
      </c>
    </row>
    <row r="11" spans="2:7" x14ac:dyDescent="0.25">
      <c r="B11" s="32" t="s">
        <v>47</v>
      </c>
      <c r="C11" s="8">
        <f>C12</f>
        <v>42.395000000000003</v>
      </c>
      <c r="D11" s="21">
        <v>0.33</v>
      </c>
      <c r="E11" s="13">
        <f>'INFORMACION INICIAL'!C3</f>
        <v>-1.8</v>
      </c>
      <c r="F11" s="43">
        <f>'INFORMACION INICIAL'!C6</f>
        <v>21</v>
      </c>
      <c r="G11" s="8">
        <f t="shared" si="0"/>
        <v>318.97998000000001</v>
      </c>
    </row>
    <row r="12" spans="2:7" x14ac:dyDescent="0.25">
      <c r="B12" s="32" t="s">
        <v>48</v>
      </c>
      <c r="C12" s="8">
        <f>'VENTILACION SUPER-PERS'!D21</f>
        <v>42.395000000000003</v>
      </c>
      <c r="D12" s="21">
        <v>0.33</v>
      </c>
      <c r="E12" s="13">
        <f>'INFORMACION INICIAL'!C5</f>
        <v>0</v>
      </c>
      <c r="F12" s="43">
        <f>'INFORMACION INICIAL'!C6</f>
        <v>21</v>
      </c>
      <c r="G12" s="8">
        <f t="shared" si="0"/>
        <v>293.79735000000005</v>
      </c>
    </row>
    <row r="13" spans="2:7" x14ac:dyDescent="0.25">
      <c r="B13" s="4"/>
      <c r="C13" s="4"/>
      <c r="D13" s="4"/>
      <c r="E13" s="4"/>
      <c r="F13" s="21" t="s">
        <v>59</v>
      </c>
      <c r="G13" s="8">
        <f>SUM(G6:G12)</f>
        <v>1814.7303299999999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21">
        <f>'INFORMACION INICIAL'!C10</f>
        <v>0.5</v>
      </c>
      <c r="C16" s="8">
        <f>C12*3</f>
        <v>127.185</v>
      </c>
      <c r="D16" s="13">
        <f>'INFORMACION INICIAL'!C3</f>
        <v>-1.8</v>
      </c>
      <c r="E16" s="43">
        <f>'INFORMACION INICIAL'!C6</f>
        <v>21</v>
      </c>
      <c r="F16" s="8">
        <f>B16*C16*(E16-D16)*'INFORMACION INICIAL'!C7*'INFORMACION INICIAL'!C8/3.6</f>
        <v>516.72801098698346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SUPER-PERS'!H21*3.6</f>
        <v>479.49974999999995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3896.2291478752336</v>
      </c>
    </row>
  </sheetData>
  <mergeCells count="1">
    <mergeCell ref="B2:G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4"/>
  <sheetViews>
    <sheetView topLeftCell="A4" workbookViewId="0">
      <selection activeCell="D6" sqref="D6:D12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69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8">
        <f>7.55*3-3*2.5</f>
        <v>15.149999999999999</v>
      </c>
      <c r="D6" s="132">
        <v>0.36</v>
      </c>
      <c r="E6" s="13">
        <f>'INFORMACION INICIAL'!C3</f>
        <v>-1.8</v>
      </c>
      <c r="F6" s="43">
        <f>'INFORMACION INICIAL'!C6</f>
        <v>21</v>
      </c>
      <c r="G6" s="8">
        <f t="shared" ref="G6:G12" si="0">C6*D6*(F6-E6)</f>
        <v>124.35119999999998</v>
      </c>
    </row>
    <row r="7" spans="2:7" x14ac:dyDescent="0.25">
      <c r="B7" s="32" t="s">
        <v>44</v>
      </c>
      <c r="C7" s="8">
        <f>7.55*3-5.15*2</f>
        <v>12.349999999999998</v>
      </c>
      <c r="D7" s="132">
        <v>0.36</v>
      </c>
      <c r="E7" s="13">
        <f>'INFORMACION INICIAL'!C3</f>
        <v>-1.8</v>
      </c>
      <c r="F7" s="43">
        <f>'INFORMACION INICIAL'!C6</f>
        <v>21</v>
      </c>
      <c r="G7" s="8">
        <f t="shared" si="0"/>
        <v>101.36879999999998</v>
      </c>
    </row>
    <row r="8" spans="2:7" x14ac:dyDescent="0.25">
      <c r="B8" s="32" t="s">
        <v>45</v>
      </c>
      <c r="C8" s="8">
        <f>12.75*3</f>
        <v>38.25</v>
      </c>
      <c r="D8" s="132">
        <v>0.36</v>
      </c>
      <c r="E8" s="13">
        <f>'INFORMACION INICIAL'!C4</f>
        <v>10</v>
      </c>
      <c r="F8" s="43">
        <f>'INFORMACION INICIAL'!C6</f>
        <v>21</v>
      </c>
      <c r="G8" s="8">
        <f t="shared" si="0"/>
        <v>151.47</v>
      </c>
    </row>
    <row r="9" spans="2:7" x14ac:dyDescent="0.25">
      <c r="B9" s="32" t="s">
        <v>46</v>
      </c>
      <c r="C9" s="8">
        <f>12.75*3</f>
        <v>38.25</v>
      </c>
      <c r="D9" s="132">
        <v>0.36</v>
      </c>
      <c r="E9" s="13">
        <f>'INFORMACION INICIAL'!C4</f>
        <v>10</v>
      </c>
      <c r="F9" s="43">
        <f>'INFORMACION INICIAL'!C6</f>
        <v>21</v>
      </c>
      <c r="G9" s="8">
        <f t="shared" si="0"/>
        <v>151.47</v>
      </c>
    </row>
    <row r="10" spans="2:7" x14ac:dyDescent="0.25">
      <c r="B10" s="32" t="s">
        <v>49</v>
      </c>
      <c r="C10" s="8">
        <f>2.5*3+5.15*2</f>
        <v>17.8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730.51200000000006</v>
      </c>
    </row>
    <row r="11" spans="2:7" x14ac:dyDescent="0.25">
      <c r="B11" s="32" t="s">
        <v>47</v>
      </c>
      <c r="C11" s="8">
        <f>C12</f>
        <v>88.694999999999993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424.67166000000003</v>
      </c>
    </row>
    <row r="12" spans="2:7" x14ac:dyDescent="0.25">
      <c r="B12" s="32" t="s">
        <v>48</v>
      </c>
      <c r="C12" s="8">
        <f>'VENTILACION SUPER-PERS'!D22</f>
        <v>88.694999999999993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1322.4424499999998</v>
      </c>
    </row>
    <row r="13" spans="2:7" x14ac:dyDescent="0.25">
      <c r="B13" s="4"/>
      <c r="C13" s="4"/>
      <c r="D13" s="4"/>
      <c r="E13" s="4"/>
      <c r="F13" s="21" t="s">
        <v>59</v>
      </c>
      <c r="G13" s="8">
        <f>SUM(G6:G12)</f>
        <v>3006.28611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21">
        <f>'INFORMACION INICIAL'!C10</f>
        <v>0.5</v>
      </c>
      <c r="C16" s="8">
        <f>C12*3</f>
        <v>266.08499999999998</v>
      </c>
      <c r="D16" s="13">
        <f>'INFORMACION INICIAL'!C3</f>
        <v>-1.8</v>
      </c>
      <c r="E16" s="43">
        <f>'INFORMACION INICIAL'!C6</f>
        <v>21</v>
      </c>
      <c r="F16" s="8">
        <f>B16*C16*(E16-D16)*'INFORMACION INICIAL'!C7*'INFORMACION INICIAL'!C8/3.6</f>
        <v>1081.0517970159333</v>
      </c>
    </row>
    <row r="18" spans="2:5" x14ac:dyDescent="0.25">
      <c r="B18" t="s">
        <v>115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SUPER-PERS'!H22*3.6</f>
        <v>1282.61475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10422.030406574157</v>
      </c>
    </row>
    <row r="22" spans="2:5" x14ac:dyDescent="0.25">
      <c r="B22" t="s">
        <v>114</v>
      </c>
    </row>
    <row r="23" spans="2:5" x14ac:dyDescent="0.25">
      <c r="B23" s="41" t="s">
        <v>107</v>
      </c>
      <c r="C23" s="41" t="s">
        <v>105</v>
      </c>
      <c r="D23" s="41" t="s">
        <v>104</v>
      </c>
      <c r="E23" s="41" t="s">
        <v>103</v>
      </c>
    </row>
    <row r="24" spans="2:5" x14ac:dyDescent="0.25">
      <c r="B24" s="8">
        <f>'VENTILACION SUPER-PERS'!H23*3.6</f>
        <v>1071.9764999999998</v>
      </c>
      <c r="C24" s="13">
        <f>'INFORMACION INICIAL'!C3</f>
        <v>-1.8</v>
      </c>
      <c r="D24" s="43">
        <f>'INFORMACION INICIAL'!C6</f>
        <v>21</v>
      </c>
      <c r="E24" s="8">
        <f>B24*(D24-C24)*'INFORMACION INICIAL'!C7*'INFORMACION INICIAL'!C8/3.6</f>
        <v>8710.4656157532409</v>
      </c>
    </row>
  </sheetData>
  <mergeCells count="1">
    <mergeCell ref="B2:G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F20" sqref="F20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70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1" t="s">
        <v>43</v>
      </c>
      <c r="C6" s="8">
        <f>6.65*3-2*3.95</f>
        <v>12.050000000000002</v>
      </c>
      <c r="D6" s="132">
        <v>0.36</v>
      </c>
      <c r="E6" s="13">
        <f>'INFORMACION INICIAL'!C3</f>
        <v>-1.8</v>
      </c>
      <c r="F6" s="43">
        <f>'INFORMACION INICIAL'!C6</f>
        <v>21</v>
      </c>
      <c r="G6" s="8">
        <f t="shared" ref="G6:G12" si="0">C6*D6*(F6-E6)</f>
        <v>98.906400000000019</v>
      </c>
    </row>
    <row r="7" spans="2:7" x14ac:dyDescent="0.25">
      <c r="B7" s="32" t="s">
        <v>44</v>
      </c>
      <c r="C7" s="8">
        <f>6.65*3-2*2.25</f>
        <v>15.450000000000003</v>
      </c>
      <c r="D7" s="132">
        <v>0.36</v>
      </c>
      <c r="E7" s="13">
        <f>'INFORMACION INICIAL'!C3</f>
        <v>-1.8</v>
      </c>
      <c r="F7" s="43">
        <f>'INFORMACION INICIAL'!C6</f>
        <v>21</v>
      </c>
      <c r="G7" s="8">
        <f t="shared" si="0"/>
        <v>126.81360000000004</v>
      </c>
    </row>
    <row r="8" spans="2:7" x14ac:dyDescent="0.25">
      <c r="B8" s="32" t="s">
        <v>45</v>
      </c>
      <c r="C8" s="8">
        <f>3*9.9-2*(5.95+3.95)</f>
        <v>9.9000000000000021</v>
      </c>
      <c r="D8" s="132">
        <v>0.36</v>
      </c>
      <c r="E8" s="13">
        <f>'INFORMACION INICIAL'!C3</f>
        <v>-1.8</v>
      </c>
      <c r="F8" s="43">
        <f>'INFORMACION INICIAL'!C6</f>
        <v>21</v>
      </c>
      <c r="G8" s="8">
        <f t="shared" si="0"/>
        <v>81.259200000000007</v>
      </c>
    </row>
    <row r="9" spans="2:7" x14ac:dyDescent="0.25">
      <c r="B9" s="32" t="s">
        <v>46</v>
      </c>
      <c r="C9" s="8">
        <f>3*9.9-2*(2.45+3.95)</f>
        <v>16.900000000000002</v>
      </c>
      <c r="D9" s="132">
        <v>0.36</v>
      </c>
      <c r="E9" s="13">
        <f>'INFORMACION INICIAL'!C4</f>
        <v>10</v>
      </c>
      <c r="F9" s="43">
        <f>'INFORMACION INICIAL'!C6</f>
        <v>21</v>
      </c>
      <c r="G9" s="8">
        <f t="shared" si="0"/>
        <v>66.924000000000007</v>
      </c>
    </row>
    <row r="10" spans="2:7" x14ac:dyDescent="0.25">
      <c r="B10" s="32" t="s">
        <v>49</v>
      </c>
      <c r="C10" s="8">
        <f>2*(2.25+5.95+3.95+3.95+3.95+2.45)</f>
        <v>44.999999999999993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1846.7999999999997</v>
      </c>
    </row>
    <row r="11" spans="2:7" x14ac:dyDescent="0.25">
      <c r="B11" s="32" t="s">
        <v>47</v>
      </c>
      <c r="C11" s="8">
        <f>C12</f>
        <v>81.594999999999999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390.67686000000003</v>
      </c>
    </row>
    <row r="12" spans="2:7" x14ac:dyDescent="0.25">
      <c r="B12" s="32" t="s">
        <v>48</v>
      </c>
      <c r="C12" s="8">
        <f>'VENTILACION SUPER-PERS'!D24</f>
        <v>81.594999999999999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1216.5814499999999</v>
      </c>
    </row>
    <row r="13" spans="2:7" x14ac:dyDescent="0.25">
      <c r="B13" s="4"/>
      <c r="C13" s="4"/>
      <c r="D13" s="4"/>
      <c r="E13" s="4"/>
      <c r="F13" s="21" t="s">
        <v>59</v>
      </c>
      <c r="G13" s="8">
        <f>SUM(G6:G12)</f>
        <v>3827.9615100000001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132">
        <f>'INFORMACION INICIAL'!C10</f>
        <v>0.5</v>
      </c>
      <c r="C16" s="8">
        <f>C12*3</f>
        <v>244.785</v>
      </c>
      <c r="D16" s="13">
        <f>'INFORMACION INICIAL'!C3</f>
        <v>-1.8</v>
      </c>
      <c r="E16" s="43">
        <f>'INFORMACION INICIAL'!C6</f>
        <v>21</v>
      </c>
      <c r="F16" s="8">
        <f>B16*C16*(E16-D16)*'INFORMACION INICIAL'!C7*'INFORMACION INICIAL'!C8/3.6</f>
        <v>994.51402421235798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SUPER-PERS'!H24*3.6</f>
        <v>650.15324999999996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5282.8933554935411</v>
      </c>
    </row>
  </sheetData>
  <mergeCells count="1">
    <mergeCell ref="B2:G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zoomScaleNormal="100" workbookViewId="0">
      <selection activeCell="D16" sqref="D16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153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58" t="s">
        <v>102</v>
      </c>
      <c r="D5" s="58" t="s">
        <v>106</v>
      </c>
      <c r="E5" s="58" t="s">
        <v>105</v>
      </c>
      <c r="F5" s="58" t="s">
        <v>104</v>
      </c>
      <c r="G5" s="58" t="s">
        <v>103</v>
      </c>
    </row>
    <row r="6" spans="2:7" x14ac:dyDescent="0.25">
      <c r="B6" s="31" t="s">
        <v>43</v>
      </c>
      <c r="C6" s="8">
        <f>6.5*3</f>
        <v>19.5</v>
      </c>
      <c r="D6" s="132">
        <v>0.36</v>
      </c>
      <c r="E6" s="13">
        <f>'INFORMACION INICIAL'!C4</f>
        <v>10</v>
      </c>
      <c r="F6" s="58">
        <f>'INFORMACION INICIAL'!C6</f>
        <v>21</v>
      </c>
      <c r="G6" s="8">
        <f t="shared" ref="G6:G11" si="0">C6*D6*(F6-E6)</f>
        <v>77.22</v>
      </c>
    </row>
    <row r="7" spans="2:7" x14ac:dyDescent="0.25">
      <c r="B7" s="32" t="s">
        <v>44</v>
      </c>
      <c r="C7" s="8">
        <f>6.5*3</f>
        <v>19.5</v>
      </c>
      <c r="D7" s="132">
        <v>0.36</v>
      </c>
      <c r="E7" s="13">
        <f>'INFORMACION INICIAL'!C4</f>
        <v>10</v>
      </c>
      <c r="F7" s="58">
        <f>'INFORMACION INICIAL'!C6</f>
        <v>21</v>
      </c>
      <c r="G7" s="8">
        <f t="shared" si="0"/>
        <v>77.22</v>
      </c>
    </row>
    <row r="8" spans="2:7" x14ac:dyDescent="0.25">
      <c r="B8" s="32" t="s">
        <v>45</v>
      </c>
      <c r="C8" s="8">
        <f>6.45*3-3.69*2</f>
        <v>11.970000000000002</v>
      </c>
      <c r="D8" s="132">
        <v>0.36</v>
      </c>
      <c r="E8" s="13">
        <f>'INFORMACION INICIAL'!C3</f>
        <v>-1.8</v>
      </c>
      <c r="F8" s="58">
        <f>'INFORMACION INICIAL'!C6</f>
        <v>21</v>
      </c>
      <c r="G8" s="8">
        <f t="shared" si="0"/>
        <v>98.249760000000023</v>
      </c>
    </row>
    <row r="9" spans="2:7" x14ac:dyDescent="0.25">
      <c r="B9" s="32" t="s">
        <v>46</v>
      </c>
      <c r="C9" s="8">
        <f>6.45*3-2.62*2</f>
        <v>14.110000000000001</v>
      </c>
      <c r="D9" s="132">
        <v>0.36</v>
      </c>
      <c r="E9" s="13">
        <f>'INFORMACION INICIAL'!C3</f>
        <v>-1.8</v>
      </c>
      <c r="F9" s="58">
        <f>'INFORMACION INICIAL'!C6</f>
        <v>21</v>
      </c>
      <c r="G9" s="8">
        <f t="shared" si="0"/>
        <v>115.81488</v>
      </c>
    </row>
    <row r="10" spans="2:7" x14ac:dyDescent="0.25">
      <c r="B10" s="32" t="s">
        <v>49</v>
      </c>
      <c r="C10" s="8">
        <f>(2.62+3.69)*2</f>
        <v>12.620000000000001</v>
      </c>
      <c r="D10" s="132">
        <v>1.8</v>
      </c>
      <c r="E10" s="13">
        <f>'INFORMACION INICIAL'!C3</f>
        <v>-1.8</v>
      </c>
      <c r="F10" s="58">
        <f>'INFORMACION INICIAL'!C6</f>
        <v>21</v>
      </c>
      <c r="G10" s="8">
        <f t="shared" si="0"/>
        <v>517.9248</v>
      </c>
    </row>
    <row r="11" spans="2:7" x14ac:dyDescent="0.25">
      <c r="B11" s="32" t="s">
        <v>47</v>
      </c>
      <c r="C11" s="8">
        <f>'VENTILACION SUPER-PERS'!D48</f>
        <v>37.1</v>
      </c>
      <c r="D11" s="132">
        <v>0.21</v>
      </c>
      <c r="E11" s="13">
        <f>'INFORMACION INICIAL'!C3</f>
        <v>-1.8</v>
      </c>
      <c r="F11" s="58">
        <f>'INFORMACION INICIAL'!C6</f>
        <v>21</v>
      </c>
      <c r="G11" s="8">
        <f t="shared" si="0"/>
        <v>177.63480000000001</v>
      </c>
    </row>
    <row r="12" spans="2:7" x14ac:dyDescent="0.25">
      <c r="B12" s="32" t="s">
        <v>48</v>
      </c>
      <c r="C12" s="8">
        <f>'VENTILACION SUPER-PERS'!D48</f>
        <v>37.1</v>
      </c>
      <c r="D12" s="132">
        <v>0.71</v>
      </c>
      <c r="E12" s="13">
        <f>'INFORMACION INICIAL'!C5</f>
        <v>0</v>
      </c>
      <c r="F12" s="58">
        <f>'INFORMACION INICIAL'!C6</f>
        <v>21</v>
      </c>
      <c r="G12" s="8">
        <f>'VENTILACION SUPER-PERS'!D48*D12*(F12-E12)</f>
        <v>553.16100000000006</v>
      </c>
    </row>
    <row r="13" spans="2:7" x14ac:dyDescent="0.25">
      <c r="B13" s="4"/>
      <c r="C13" s="4"/>
      <c r="D13" s="4"/>
      <c r="E13" s="4"/>
      <c r="F13" s="58" t="s">
        <v>59</v>
      </c>
      <c r="G13" s="8">
        <f>SUM(G6:G12)</f>
        <v>1617.2252400000002</v>
      </c>
    </row>
    <row r="14" spans="2:7" x14ac:dyDescent="0.25">
      <c r="B14" t="s">
        <v>41</v>
      </c>
    </row>
    <row r="15" spans="2:7" x14ac:dyDescent="0.25">
      <c r="B15" s="58" t="s">
        <v>100</v>
      </c>
      <c r="C15" s="58" t="s">
        <v>101</v>
      </c>
      <c r="D15" s="58" t="s">
        <v>105</v>
      </c>
      <c r="E15" s="58" t="s">
        <v>104</v>
      </c>
      <c r="F15" s="58" t="s">
        <v>103</v>
      </c>
    </row>
    <row r="16" spans="2:7" x14ac:dyDescent="0.25">
      <c r="B16" s="58">
        <f>'INFORMACION INICIAL'!C10</f>
        <v>0.5</v>
      </c>
      <c r="C16" s="8">
        <f>C12*3</f>
        <v>111.30000000000001</v>
      </c>
      <c r="D16" s="13">
        <f>'INFORMACION INICIAL'!C3</f>
        <v>-1.8</v>
      </c>
      <c r="E16" s="58">
        <v>18</v>
      </c>
      <c r="F16" s="8">
        <f>B16*C16*(E16-D16)*'INFORMACION INICIAL'!C7*'INFORMACION INICIAL'!C8/3.6</f>
        <v>392.69160579472748</v>
      </c>
    </row>
    <row r="18" spans="2:5" x14ac:dyDescent="0.25">
      <c r="B18" t="s">
        <v>42</v>
      </c>
    </row>
    <row r="19" spans="2:5" x14ac:dyDescent="0.25">
      <c r="B19" s="58" t="s">
        <v>107</v>
      </c>
      <c r="C19" s="58" t="s">
        <v>105</v>
      </c>
      <c r="D19" s="58" t="s">
        <v>104</v>
      </c>
      <c r="E19" s="58" t="s">
        <v>103</v>
      </c>
    </row>
    <row r="20" spans="2:5" x14ac:dyDescent="0.25">
      <c r="B20" s="8">
        <f>'VENTILACION SUPER-PERS'!H48</f>
        <v>13.9125</v>
      </c>
      <c r="C20" s="13">
        <f>'INFORMACION INICIAL'!C3</f>
        <v>-1.8</v>
      </c>
      <c r="D20" s="58">
        <f>'INFORMACION INICIAL'!C6</f>
        <v>21</v>
      </c>
      <c r="E20" s="8">
        <f>B20*(D20-C20)*'INFORMACION INICIAL'!C7*'INFORMACION INICIAL'!C8/3.6</f>
        <v>113.04758348636092</v>
      </c>
    </row>
  </sheetData>
  <mergeCells count="1">
    <mergeCell ref="B2:G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E21" sqref="E21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156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58" t="s">
        <v>102</v>
      </c>
      <c r="D5" s="58" t="s">
        <v>106</v>
      </c>
      <c r="E5" s="58" t="s">
        <v>105</v>
      </c>
      <c r="F5" s="58" t="s">
        <v>104</v>
      </c>
      <c r="G5" s="58" t="s">
        <v>103</v>
      </c>
    </row>
    <row r="6" spans="2:7" x14ac:dyDescent="0.25">
      <c r="B6" s="31" t="s">
        <v>43</v>
      </c>
      <c r="C6" s="8">
        <v>4.0999999999999996</v>
      </c>
      <c r="D6" s="132">
        <v>0.36</v>
      </c>
      <c r="E6" s="13">
        <f>'INFORMACION INICIAL'!C3</f>
        <v>-1.8</v>
      </c>
      <c r="F6" s="58">
        <f>'INFORMACION INICIAL'!C6</f>
        <v>21</v>
      </c>
      <c r="G6" s="8">
        <f t="shared" ref="G6:G11" si="0">C6*D6*(F6-E6)</f>
        <v>33.652799999999992</v>
      </c>
    </row>
    <row r="7" spans="2:7" x14ac:dyDescent="0.25">
      <c r="B7" s="32" t="s">
        <v>44</v>
      </c>
      <c r="C7" s="8">
        <v>4.0999999999999996</v>
      </c>
      <c r="D7" s="132">
        <v>0.36</v>
      </c>
      <c r="E7" s="13">
        <f>'INFORMACION INICIAL'!C3</f>
        <v>-1.8</v>
      </c>
      <c r="F7" s="58">
        <f>'INFORMACION INICIAL'!C6</f>
        <v>21</v>
      </c>
      <c r="G7" s="8">
        <f t="shared" si="0"/>
        <v>33.652799999999992</v>
      </c>
    </row>
    <row r="8" spans="2:7" x14ac:dyDescent="0.25">
      <c r="B8" s="32" t="s">
        <v>45</v>
      </c>
      <c r="C8" s="8">
        <f>3*2.8-1*2</f>
        <v>6.3999999999999986</v>
      </c>
      <c r="D8" s="132">
        <v>0.36</v>
      </c>
      <c r="E8" s="13">
        <f>'INFORMACION INICIAL'!C3</f>
        <v>-1.8</v>
      </c>
      <c r="F8" s="58">
        <f>'INFORMACION INICIAL'!C6</f>
        <v>21</v>
      </c>
      <c r="G8" s="8">
        <f t="shared" si="0"/>
        <v>52.531199999999984</v>
      </c>
    </row>
    <row r="9" spans="2:7" x14ac:dyDescent="0.25">
      <c r="B9" s="32" t="s">
        <v>46</v>
      </c>
      <c r="C9" s="8">
        <f>2.8*3</f>
        <v>8.3999999999999986</v>
      </c>
      <c r="D9" s="132">
        <v>0.36</v>
      </c>
      <c r="E9" s="13">
        <f>'INFORMACION INICIAL'!C3</f>
        <v>-1.8</v>
      </c>
      <c r="F9" s="58">
        <f>'INFORMACION INICIAL'!C6</f>
        <v>21</v>
      </c>
      <c r="G9" s="8">
        <f t="shared" si="0"/>
        <v>68.947199999999995</v>
      </c>
    </row>
    <row r="10" spans="2:7" x14ac:dyDescent="0.25">
      <c r="B10" s="32" t="s">
        <v>49</v>
      </c>
      <c r="C10" s="8">
        <f>1*2</f>
        <v>2</v>
      </c>
      <c r="D10" s="132">
        <v>1.8</v>
      </c>
      <c r="E10" s="13">
        <f>'INFORMACION INICIAL'!C3</f>
        <v>-1.8</v>
      </c>
      <c r="F10" s="58">
        <f>'INFORMACION INICIAL'!C6</f>
        <v>21</v>
      </c>
      <c r="G10" s="8">
        <f t="shared" si="0"/>
        <v>82.08</v>
      </c>
    </row>
    <row r="11" spans="2:7" x14ac:dyDescent="0.25">
      <c r="B11" s="32" t="s">
        <v>47</v>
      </c>
      <c r="C11" s="8">
        <f>'VENTILACION SUPER-PERS'!D47</f>
        <v>9.1</v>
      </c>
      <c r="D11" s="132">
        <v>0.21</v>
      </c>
      <c r="E11" s="13">
        <f>'INFORMACION INICIAL'!C3</f>
        <v>-1.8</v>
      </c>
      <c r="F11" s="58">
        <f>'INFORMACION INICIAL'!C6</f>
        <v>21</v>
      </c>
      <c r="G11" s="8">
        <f t="shared" si="0"/>
        <v>43.570799999999998</v>
      </c>
    </row>
    <row r="12" spans="2:7" x14ac:dyDescent="0.25">
      <c r="B12" s="32" t="s">
        <v>48</v>
      </c>
      <c r="C12" s="64">
        <v>9.1</v>
      </c>
      <c r="D12" s="132">
        <v>0.71</v>
      </c>
      <c r="E12" s="13">
        <f>'INFORMACION INICIAL'!C5</f>
        <v>0</v>
      </c>
      <c r="F12" s="58">
        <f>'INFORMACION INICIAL'!C6</f>
        <v>21</v>
      </c>
      <c r="G12" s="8">
        <f>'VENTILACION SUPER-PERS'!D48*D12*(F12-E12)</f>
        <v>553.16100000000006</v>
      </c>
    </row>
    <row r="13" spans="2:7" x14ac:dyDescent="0.25">
      <c r="B13" s="4"/>
      <c r="C13" s="4"/>
      <c r="D13" s="4"/>
      <c r="E13" s="4"/>
      <c r="F13" s="58" t="s">
        <v>59</v>
      </c>
      <c r="G13" s="8">
        <f>SUM(G6:G12)</f>
        <v>867.59580000000005</v>
      </c>
    </row>
    <row r="14" spans="2:7" x14ac:dyDescent="0.25">
      <c r="B14" t="s">
        <v>41</v>
      </c>
    </row>
    <row r="15" spans="2:7" x14ac:dyDescent="0.25">
      <c r="B15" s="58" t="s">
        <v>100</v>
      </c>
      <c r="C15" s="58" t="s">
        <v>101</v>
      </c>
      <c r="D15" s="58" t="s">
        <v>105</v>
      </c>
      <c r="E15" s="58" t="s">
        <v>104</v>
      </c>
      <c r="F15" s="58" t="s">
        <v>103</v>
      </c>
    </row>
    <row r="16" spans="2:7" x14ac:dyDescent="0.25">
      <c r="B16" s="58">
        <f>'INFORMACION INICIAL'!C10</f>
        <v>0.5</v>
      </c>
      <c r="C16" s="8">
        <f>C12*3</f>
        <v>27.299999999999997</v>
      </c>
      <c r="D16" s="13">
        <f>'INFORMACION INICIAL'!C3</f>
        <v>-1.8</v>
      </c>
      <c r="E16" s="58">
        <f>'INFORMACION INICIAL'!C6</f>
        <v>21</v>
      </c>
      <c r="F16" s="8">
        <f>B16*C16*(E16-D16)*'INFORMACION INICIAL'!C7*'INFORMACION INICIAL'!C8/3.6</f>
        <v>110.91461021303336</v>
      </c>
    </row>
    <row r="18" spans="2:5" x14ac:dyDescent="0.25">
      <c r="B18" t="s">
        <v>42</v>
      </c>
    </row>
    <row r="19" spans="2:5" x14ac:dyDescent="0.25">
      <c r="B19" s="58" t="s">
        <v>107</v>
      </c>
      <c r="C19" s="58" t="s">
        <v>105</v>
      </c>
      <c r="D19" s="58" t="s">
        <v>104</v>
      </c>
      <c r="E19" s="58" t="s">
        <v>103</v>
      </c>
    </row>
    <row r="20" spans="2:5" x14ac:dyDescent="0.25">
      <c r="B20" s="8">
        <f>'VENTILACION SUPER-PERS'!H47*3.6</f>
        <v>34.784999999999997</v>
      </c>
      <c r="C20" s="13">
        <f>'INFORMACION INICIAL'!C3</f>
        <v>-1.8</v>
      </c>
      <c r="D20" s="58">
        <f>'INFORMACION INICIAL'!C6</f>
        <v>21</v>
      </c>
      <c r="E20" s="8">
        <f>B20*(D20-C20)*'INFORMACION INICIAL'!C7*'INFORMACION INICIAL'!C8/3.6</f>
        <v>282.64942976266411</v>
      </c>
    </row>
  </sheetData>
  <mergeCells count="1">
    <mergeCell ref="B2:G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F19" sqref="F19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71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21">
        <f>C7</f>
        <v>19.259999999999998</v>
      </c>
      <c r="D6" s="21">
        <v>0.36</v>
      </c>
      <c r="E6" s="13">
        <f>'INFORMACION INICIAL'!C4</f>
        <v>10</v>
      </c>
      <c r="F6" s="43">
        <f>'INFORMACION INICIAL'!C6</f>
        <v>21</v>
      </c>
      <c r="G6" s="8">
        <f t="shared" ref="G6:G12" si="0">C6*D6*(F6-E6)</f>
        <v>76.269599999999997</v>
      </c>
    </row>
    <row r="7" spans="2:7" x14ac:dyDescent="0.25">
      <c r="B7" s="32" t="s">
        <v>44</v>
      </c>
      <c r="C7" s="21">
        <f>6.42*3</f>
        <v>19.259999999999998</v>
      </c>
      <c r="D7" s="132">
        <v>0.36</v>
      </c>
      <c r="E7" s="13">
        <f>'INFORMACION INICIAL'!C4</f>
        <v>10</v>
      </c>
      <c r="F7" s="43">
        <f>'INFORMACION INICIAL'!C6</f>
        <v>21</v>
      </c>
      <c r="G7" s="8">
        <f t="shared" si="0"/>
        <v>76.269599999999997</v>
      </c>
    </row>
    <row r="8" spans="2:7" x14ac:dyDescent="0.25">
      <c r="B8" s="32" t="s">
        <v>45</v>
      </c>
      <c r="C8" s="21">
        <f>5.7*3-2.63*2</f>
        <v>11.840000000000002</v>
      </c>
      <c r="D8" s="132">
        <v>0.36</v>
      </c>
      <c r="E8" s="13">
        <f>'INFORMACION INICIAL'!C4</f>
        <v>10</v>
      </c>
      <c r="F8" s="43">
        <f>'INFORMACION INICIAL'!C6</f>
        <v>21</v>
      </c>
      <c r="G8" s="8">
        <f t="shared" si="0"/>
        <v>46.886400000000002</v>
      </c>
    </row>
    <row r="9" spans="2:7" x14ac:dyDescent="0.25">
      <c r="B9" s="32" t="s">
        <v>46</v>
      </c>
      <c r="C9" s="8">
        <f>5.7*3-3.6*2</f>
        <v>9.9000000000000021</v>
      </c>
      <c r="D9" s="132">
        <v>0.36</v>
      </c>
      <c r="E9" s="13">
        <f>'INFORMACION INICIAL'!C3</f>
        <v>-1.8</v>
      </c>
      <c r="F9" s="43">
        <f>'INFORMACION INICIAL'!C6</f>
        <v>21</v>
      </c>
      <c r="G9" s="8">
        <f t="shared" si="0"/>
        <v>81.259200000000007</v>
      </c>
    </row>
    <row r="10" spans="2:7" x14ac:dyDescent="0.25">
      <c r="B10" s="32" t="s">
        <v>49</v>
      </c>
      <c r="C10" s="21">
        <f>2*(3.6+2.63)</f>
        <v>12.46</v>
      </c>
      <c r="D10" s="21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511.35840000000002</v>
      </c>
    </row>
    <row r="11" spans="2:7" x14ac:dyDescent="0.25">
      <c r="B11" s="32" t="s">
        <v>47</v>
      </c>
      <c r="C11" s="8">
        <f>C12</f>
        <v>31.945</v>
      </c>
      <c r="D11" s="21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152.95266000000001</v>
      </c>
    </row>
    <row r="12" spans="2:7" x14ac:dyDescent="0.25">
      <c r="B12" s="32" t="s">
        <v>48</v>
      </c>
      <c r="C12" s="8">
        <f>'VENTILACION SUPER-PERS'!D25</f>
        <v>31.945</v>
      </c>
      <c r="D12" s="21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476.29994999999997</v>
      </c>
    </row>
    <row r="13" spans="2:7" x14ac:dyDescent="0.25">
      <c r="B13" s="4"/>
      <c r="C13" s="4"/>
      <c r="D13" s="4"/>
      <c r="E13" s="4"/>
      <c r="F13" s="21" t="s">
        <v>59</v>
      </c>
      <c r="G13" s="8">
        <f>SUM(G6:G12)</f>
        <v>1421.2958100000001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21">
        <f>'INFORMACION INICIAL'!C10</f>
        <v>0.5</v>
      </c>
      <c r="C16" s="8">
        <f>C12*3</f>
        <v>95.835000000000008</v>
      </c>
      <c r="D16" s="13">
        <f>'INFORMACION INICIAL'!C4</f>
        <v>10</v>
      </c>
      <c r="E16" s="43">
        <f>'INFORMACION INICIAL'!C6</f>
        <v>21</v>
      </c>
      <c r="F16" s="8">
        <f>B16*C16*(E16-D16)*'INFORMACION INICIAL'!C7*'INFORMACION INICIAL'!C8/3.6</f>
        <v>187.84865748895731</v>
      </c>
    </row>
    <row r="17" spans="2:5" x14ac:dyDescent="0.25">
      <c r="B17" t="s">
        <v>328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SUPER-PERS'!H25*3.6</f>
        <v>423.75149999999996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3443.2404725046308</v>
      </c>
    </row>
  </sheetData>
  <mergeCells count="1">
    <mergeCell ref="B2:G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2"/>
  <sheetViews>
    <sheetView workbookViewId="0">
      <selection activeCell="D16" sqref="D16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72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8">
        <f>5.45*3</f>
        <v>16.350000000000001</v>
      </c>
      <c r="D6" s="132">
        <v>0.36</v>
      </c>
      <c r="E6" s="13">
        <f>'INFORMACION INICIAL'!C4</f>
        <v>10</v>
      </c>
      <c r="F6" s="43">
        <f>'INFORMACION INICIAL'!C6</f>
        <v>21</v>
      </c>
      <c r="G6" s="8">
        <f t="shared" ref="G6:G12" si="0">C6*D6*(F6-E6)</f>
        <v>64.745999999999995</v>
      </c>
    </row>
    <row r="7" spans="2:7" x14ac:dyDescent="0.25">
      <c r="B7" s="32" t="s">
        <v>44</v>
      </c>
      <c r="C7" s="8">
        <f>C6</f>
        <v>16.350000000000001</v>
      </c>
      <c r="D7" s="132">
        <v>0.36</v>
      </c>
      <c r="E7" s="13">
        <f>'INFORMACION INICIAL'!C4</f>
        <v>10</v>
      </c>
      <c r="F7" s="43">
        <f>'INFORMACION INICIAL'!C6</f>
        <v>21</v>
      </c>
      <c r="G7" s="8">
        <f t="shared" si="0"/>
        <v>64.745999999999995</v>
      </c>
    </row>
    <row r="8" spans="2:7" x14ac:dyDescent="0.25">
      <c r="B8" s="32" t="s">
        <v>45</v>
      </c>
      <c r="C8" s="8">
        <f>3.1*3-1.75*2.5</f>
        <v>4.9250000000000007</v>
      </c>
      <c r="D8" s="132">
        <v>0.36</v>
      </c>
      <c r="E8" s="13">
        <f>'INFORMACION INICIAL'!C4</f>
        <v>10</v>
      </c>
      <c r="F8" s="43">
        <f>'INFORMACION INICIAL'!C6</f>
        <v>21</v>
      </c>
      <c r="G8" s="8">
        <f t="shared" si="0"/>
        <v>19.503</v>
      </c>
    </row>
    <row r="9" spans="2:7" x14ac:dyDescent="0.25">
      <c r="B9" s="32" t="s">
        <v>46</v>
      </c>
      <c r="C9" s="8">
        <f>3.1*3-1.5*2</f>
        <v>6.3000000000000007</v>
      </c>
      <c r="D9" s="132">
        <v>0.36</v>
      </c>
      <c r="E9" s="13">
        <f>'INFORMACION INICIAL'!C3</f>
        <v>-1.8</v>
      </c>
      <c r="F9" s="43">
        <f>'INFORMACION INICIAL'!C6</f>
        <v>21</v>
      </c>
      <c r="G9" s="8">
        <f t="shared" si="0"/>
        <v>51.710400000000007</v>
      </c>
    </row>
    <row r="10" spans="2:7" x14ac:dyDescent="0.25">
      <c r="B10" s="32" t="s">
        <v>49</v>
      </c>
      <c r="C10" s="8">
        <f>1.5*2+2.5*1.75</f>
        <v>7.375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302.67</v>
      </c>
    </row>
    <row r="11" spans="2:7" x14ac:dyDescent="0.25">
      <c r="B11" s="32" t="s">
        <v>47</v>
      </c>
      <c r="C11" s="8">
        <f>C12</f>
        <v>13.901199999999999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66.558945600000001</v>
      </c>
    </row>
    <row r="12" spans="2:7" x14ac:dyDescent="0.25">
      <c r="B12" s="32" t="s">
        <v>48</v>
      </c>
      <c r="C12" s="8">
        <f>'VENTILACION SUPER-PERS'!D27</f>
        <v>13.901199999999999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207.26689199999998</v>
      </c>
    </row>
    <row r="13" spans="2:7" x14ac:dyDescent="0.25">
      <c r="B13" s="4"/>
      <c r="C13" s="4"/>
      <c r="D13" s="4"/>
      <c r="E13" s="4"/>
      <c r="F13" s="21" t="s">
        <v>59</v>
      </c>
      <c r="G13" s="8">
        <f>SUM(G6:G12)</f>
        <v>777.20123760000001</v>
      </c>
    </row>
    <row r="14" spans="2:7" x14ac:dyDescent="0.25">
      <c r="B14" s="38" t="s">
        <v>41</v>
      </c>
      <c r="C14" s="1"/>
      <c r="D14" s="1"/>
      <c r="E14" s="1"/>
      <c r="F14" s="1"/>
      <c r="G14" s="1"/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  <c r="G15" s="1"/>
    </row>
    <row r="16" spans="2:7" x14ac:dyDescent="0.25">
      <c r="B16" s="21">
        <f>'INFORMACION INICIAL'!C10</f>
        <v>0.5</v>
      </c>
      <c r="C16" s="8">
        <f>C12*3</f>
        <v>41.703599999999994</v>
      </c>
      <c r="D16" s="13">
        <f>'INFORMACION INICIAL'!C3</f>
        <v>-1.8</v>
      </c>
      <c r="E16" s="43">
        <f>'INFORMACION INICIAL'!C6</f>
        <v>21</v>
      </c>
      <c r="F16" s="8">
        <f>B16*C16*(E16-D16)*'INFORMACION INICIAL'!C7*'INFORMACION INICIAL'!C8/3.6</f>
        <v>169.43364609817795</v>
      </c>
      <c r="G16" s="1"/>
    </row>
    <row r="17" spans="2:7" x14ac:dyDescent="0.25">
      <c r="B17" s="1"/>
      <c r="C17" s="1"/>
      <c r="D17" s="1"/>
      <c r="E17" s="1"/>
      <c r="F17" s="1"/>
      <c r="G17" s="1"/>
    </row>
    <row r="18" spans="2:7" x14ac:dyDescent="0.25">
      <c r="B18" s="38" t="s">
        <v>42</v>
      </c>
      <c r="C18" s="1"/>
      <c r="D18" s="1"/>
      <c r="E18" s="1"/>
      <c r="F18" s="1"/>
      <c r="G18" s="1"/>
    </row>
    <row r="19" spans="2:7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7" x14ac:dyDescent="0.25">
      <c r="B20" s="8">
        <f>'VENTILACION SUPER-PERS'!H27*3.6</f>
        <v>30.01662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243.90342177382723</v>
      </c>
    </row>
    <row r="21" spans="2:7" x14ac:dyDescent="0.25">
      <c r="B21" s="1"/>
      <c r="C21" s="1"/>
      <c r="D21" s="1"/>
      <c r="E21" s="1"/>
      <c r="F21" s="1"/>
      <c r="G21" s="1"/>
    </row>
    <row r="22" spans="2:7" x14ac:dyDescent="0.25">
      <c r="B22" s="1"/>
      <c r="C22" s="1"/>
      <c r="D22" s="1"/>
      <c r="E22" s="1"/>
      <c r="F22" s="1"/>
      <c r="G22" s="1"/>
    </row>
  </sheetData>
  <mergeCells count="1">
    <mergeCell ref="B2:G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E10" sqref="E10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73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8">
        <f>3.1*3-1.5*2</f>
        <v>6.3000000000000007</v>
      </c>
      <c r="D6" s="132">
        <v>0.36</v>
      </c>
      <c r="E6" s="13">
        <f>'INFORMACION INICIAL'!C3</f>
        <v>-1.8</v>
      </c>
      <c r="F6" s="43">
        <f>'INFORMACION INICIAL'!C6</f>
        <v>21</v>
      </c>
      <c r="G6" s="8">
        <f t="shared" ref="G6:G12" si="0">C6*D6*(F6-E6)</f>
        <v>51.710400000000007</v>
      </c>
    </row>
    <row r="7" spans="2:7" x14ac:dyDescent="0.25">
      <c r="B7" s="32" t="s">
        <v>44</v>
      </c>
      <c r="C7" s="8">
        <f>3.1*3-2.9*2</f>
        <v>3.5000000000000009</v>
      </c>
      <c r="D7" s="132">
        <v>0.36</v>
      </c>
      <c r="E7" s="13">
        <f>'INFORMACION INICIAL'!C4</f>
        <v>10</v>
      </c>
      <c r="F7" s="43">
        <f>'INFORMACION INICIAL'!C6</f>
        <v>21</v>
      </c>
      <c r="G7" s="8">
        <f t="shared" si="0"/>
        <v>13.860000000000003</v>
      </c>
    </row>
    <row r="8" spans="2:7" x14ac:dyDescent="0.25">
      <c r="B8" s="32" t="s">
        <v>45</v>
      </c>
      <c r="C8" s="8">
        <f>4.38*3</f>
        <v>13.14</v>
      </c>
      <c r="D8" s="132">
        <v>0.36</v>
      </c>
      <c r="E8" s="13">
        <f>'INFORMACION INICIAL'!C4</f>
        <v>10</v>
      </c>
      <c r="F8" s="43">
        <f>'INFORMACION INICIAL'!C6</f>
        <v>21</v>
      </c>
      <c r="G8" s="8">
        <f t="shared" si="0"/>
        <v>52.034400000000005</v>
      </c>
    </row>
    <row r="9" spans="2:7" x14ac:dyDescent="0.25">
      <c r="B9" s="32" t="s">
        <v>46</v>
      </c>
      <c r="C9" s="8">
        <f>4.38*3</f>
        <v>13.14</v>
      </c>
      <c r="D9" s="132">
        <v>0.36</v>
      </c>
      <c r="E9" s="13">
        <f>'INFORMACION INICIAL'!C4</f>
        <v>10</v>
      </c>
      <c r="F9" s="43">
        <f>'INFORMACION INICIAL'!C6</f>
        <v>21</v>
      </c>
      <c r="G9" s="8">
        <f t="shared" si="0"/>
        <v>52.034400000000005</v>
      </c>
    </row>
    <row r="10" spans="2:7" x14ac:dyDescent="0.25">
      <c r="B10" s="32" t="s">
        <v>49</v>
      </c>
      <c r="C10" s="8">
        <f>2*(2.9+1.5)</f>
        <v>8.8000000000000007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361.15200000000004</v>
      </c>
    </row>
    <row r="11" spans="2:7" x14ac:dyDescent="0.25">
      <c r="B11" s="32" t="s">
        <v>47</v>
      </c>
      <c r="C11" s="8">
        <f>C12</f>
        <v>12.074999999999999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57.815099999999994</v>
      </c>
    </row>
    <row r="12" spans="2:7" x14ac:dyDescent="0.25">
      <c r="B12" s="32" t="s">
        <v>48</v>
      </c>
      <c r="C12" s="8">
        <f>'VENTILACION SUPER-PERS'!D31</f>
        <v>12.074999999999999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180.03825000000001</v>
      </c>
    </row>
    <row r="13" spans="2:7" x14ac:dyDescent="0.25">
      <c r="B13" s="4"/>
      <c r="C13" s="4"/>
      <c r="D13" s="4"/>
      <c r="E13" s="4"/>
      <c r="F13" s="21" t="s">
        <v>59</v>
      </c>
      <c r="G13" s="8">
        <f>SUM(G6:G12)</f>
        <v>768.64455000000021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10">
        <f>'INFORMACION INICIAL'!C10</f>
        <v>0.5</v>
      </c>
      <c r="C16" s="15">
        <f>C12*3</f>
        <v>36.224999999999994</v>
      </c>
      <c r="D16" s="13">
        <f>'INFORMACION INICIAL'!C3</f>
        <v>-1.8</v>
      </c>
      <c r="E16" s="10">
        <f>'INFORMACION INICIAL'!C6</f>
        <v>21</v>
      </c>
      <c r="F16" s="15">
        <f>B16*C16*(E16-D16)*'INFORMACION INICIAL'!C7*'INFORMACION INICIAL'!C8/3.6</f>
        <v>147.17515585960197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SUPER-PERS'!H32*3.6</f>
        <v>50.051249999999989</v>
      </c>
      <c r="C20" s="13">
        <f>'INFORMACION INICIAL'!C3</f>
        <v>-1.8</v>
      </c>
      <c r="D20" s="10">
        <f>'INFORMACION INICIAL'!C6</f>
        <v>21</v>
      </c>
      <c r="E20" s="8">
        <f>B20*(D20-C20)*'INFORMACION INICIAL'!C7*'INFORMACION INICIAL'!C8/3.6</f>
        <v>406.69706113004287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0"/>
  <sheetViews>
    <sheetView tabSelected="1" zoomScale="70" zoomScaleNormal="70" workbookViewId="0">
      <selection activeCell="Q54" sqref="Q54"/>
    </sheetView>
  </sheetViews>
  <sheetFormatPr baseColWidth="10" defaultRowHeight="15" x14ac:dyDescent="0.25"/>
  <cols>
    <col min="1" max="1" width="3.140625" customWidth="1"/>
    <col min="2" max="2" width="3.85546875" bestFit="1" customWidth="1"/>
    <col min="3" max="3" width="22.42578125" bestFit="1" customWidth="1"/>
    <col min="4" max="4" width="15.28515625" customWidth="1"/>
    <col min="5" max="5" width="22" customWidth="1"/>
    <col min="6" max="6" width="12.5703125" customWidth="1"/>
    <col min="7" max="7" width="16" customWidth="1"/>
    <col min="8" max="8" width="11.42578125" customWidth="1"/>
    <col min="9" max="9" width="22.85546875" bestFit="1" customWidth="1"/>
    <col min="10" max="10" width="12.140625" style="1" customWidth="1"/>
  </cols>
  <sheetData>
    <row r="2" spans="1:10" ht="31.5" customHeight="1" x14ac:dyDescent="0.25">
      <c r="B2" s="155" t="s">
        <v>36</v>
      </c>
      <c r="C2" s="154" t="s">
        <v>0</v>
      </c>
      <c r="D2" s="156" t="s">
        <v>11</v>
      </c>
      <c r="E2" s="154" t="s">
        <v>129</v>
      </c>
      <c r="F2" s="154" t="s">
        <v>12</v>
      </c>
      <c r="G2" s="154" t="s">
        <v>283</v>
      </c>
      <c r="H2" s="156" t="s">
        <v>282</v>
      </c>
      <c r="I2" s="157" t="s">
        <v>281</v>
      </c>
      <c r="J2" s="156" t="s">
        <v>408</v>
      </c>
    </row>
    <row r="3" spans="1:10" x14ac:dyDescent="0.25">
      <c r="B3" s="144">
        <v>1</v>
      </c>
      <c r="C3" s="36" t="s">
        <v>5</v>
      </c>
      <c r="D3" s="51">
        <v>46.732500000000002</v>
      </c>
      <c r="E3" s="144">
        <v>0.9</v>
      </c>
      <c r="F3" s="36">
        <v>16</v>
      </c>
      <c r="G3" s="47">
        <v>5</v>
      </c>
      <c r="H3" s="47">
        <f>(D3*E3+F3*G3)/0.8</f>
        <v>152.5740625</v>
      </c>
      <c r="I3" s="144" t="s">
        <v>118</v>
      </c>
      <c r="J3" s="65">
        <f>H3*3.6</f>
        <v>549.26662499999998</v>
      </c>
    </row>
    <row r="4" spans="1:10" x14ac:dyDescent="0.25">
      <c r="B4" s="144">
        <f>B3+1</f>
        <v>2</v>
      </c>
      <c r="C4" s="36" t="s">
        <v>6</v>
      </c>
      <c r="D4" s="51">
        <v>46.732500000000002</v>
      </c>
      <c r="E4" s="144">
        <v>0.9</v>
      </c>
      <c r="F4" s="36">
        <f>F3</f>
        <v>16</v>
      </c>
      <c r="G4" s="47">
        <v>5</v>
      </c>
      <c r="H4" s="47">
        <f t="shared" ref="H4:H46" si="0">(D4*E4+F4*G4)/0.8</f>
        <v>152.5740625</v>
      </c>
      <c r="I4" s="144" t="s">
        <v>118</v>
      </c>
      <c r="J4" s="65">
        <f t="shared" ref="J4:J48" si="1">H4*3.6</f>
        <v>549.26662499999998</v>
      </c>
    </row>
    <row r="5" spans="1:10" x14ac:dyDescent="0.25">
      <c r="B5" s="144">
        <f t="shared" ref="B5:B48" si="2">B4+1</f>
        <v>3</v>
      </c>
      <c r="C5" s="36" t="s">
        <v>8</v>
      </c>
      <c r="D5" s="51">
        <v>46.702500000000001</v>
      </c>
      <c r="E5" s="144">
        <v>0.9</v>
      </c>
      <c r="F5" s="36">
        <f>F4</f>
        <v>16</v>
      </c>
      <c r="G5" s="47">
        <v>5</v>
      </c>
      <c r="H5" s="47">
        <f t="shared" si="0"/>
        <v>152.5403125</v>
      </c>
      <c r="I5" s="144" t="s">
        <v>118</v>
      </c>
      <c r="J5" s="65">
        <f t="shared" si="1"/>
        <v>549.14512500000001</v>
      </c>
    </row>
    <row r="6" spans="1:10" x14ac:dyDescent="0.25">
      <c r="A6" s="6"/>
      <c r="B6" s="144">
        <f t="shared" si="2"/>
        <v>4</v>
      </c>
      <c r="C6" s="36" t="s">
        <v>7</v>
      </c>
      <c r="D6" s="51">
        <v>47.163800000000002</v>
      </c>
      <c r="E6" s="144">
        <v>0.9</v>
      </c>
      <c r="F6" s="36">
        <f>F5</f>
        <v>16</v>
      </c>
      <c r="G6" s="47">
        <v>5</v>
      </c>
      <c r="H6" s="47">
        <f t="shared" si="0"/>
        <v>153.05927499999999</v>
      </c>
      <c r="I6" s="144" t="s">
        <v>118</v>
      </c>
      <c r="J6" s="65">
        <f t="shared" si="1"/>
        <v>551.01338999999996</v>
      </c>
    </row>
    <row r="7" spans="1:10" x14ac:dyDescent="0.25">
      <c r="A7" s="6"/>
      <c r="B7" s="144">
        <f t="shared" si="2"/>
        <v>5</v>
      </c>
      <c r="C7" s="144" t="s">
        <v>9</v>
      </c>
      <c r="D7" s="143">
        <v>47.163800000000002</v>
      </c>
      <c r="E7" s="144">
        <v>0.9</v>
      </c>
      <c r="F7" s="144">
        <v>16</v>
      </c>
      <c r="G7" s="47">
        <v>5</v>
      </c>
      <c r="H7" s="47">
        <f t="shared" si="0"/>
        <v>153.05927499999999</v>
      </c>
      <c r="I7" s="144" t="s">
        <v>118</v>
      </c>
      <c r="J7" s="65">
        <f t="shared" si="1"/>
        <v>551.01338999999996</v>
      </c>
    </row>
    <row r="8" spans="1:10" x14ac:dyDescent="0.25">
      <c r="A8" s="6"/>
      <c r="B8" s="144">
        <f t="shared" si="2"/>
        <v>6</v>
      </c>
      <c r="C8" s="144" t="s">
        <v>10</v>
      </c>
      <c r="D8" s="143">
        <v>47.163800000000002</v>
      </c>
      <c r="E8" s="144">
        <v>0.9</v>
      </c>
      <c r="F8" s="144">
        <f>F7</f>
        <v>16</v>
      </c>
      <c r="G8" s="47">
        <v>5</v>
      </c>
      <c r="H8" s="47">
        <f t="shared" si="0"/>
        <v>153.05927499999999</v>
      </c>
      <c r="I8" s="144" t="s">
        <v>118</v>
      </c>
      <c r="J8" s="65">
        <f t="shared" si="1"/>
        <v>551.01338999999996</v>
      </c>
    </row>
    <row r="9" spans="1:10" x14ac:dyDescent="0.25">
      <c r="A9" s="6"/>
      <c r="B9" s="144">
        <f t="shared" si="2"/>
        <v>7</v>
      </c>
      <c r="C9" s="144" t="s">
        <v>1</v>
      </c>
      <c r="D9" s="143">
        <v>46.732500000000002</v>
      </c>
      <c r="E9" s="144">
        <v>0.9</v>
      </c>
      <c r="F9" s="144">
        <v>16</v>
      </c>
      <c r="G9" s="47">
        <v>5</v>
      </c>
      <c r="H9" s="47">
        <f t="shared" si="0"/>
        <v>152.5740625</v>
      </c>
      <c r="I9" s="144" t="s">
        <v>118</v>
      </c>
      <c r="J9" s="65">
        <f t="shared" si="1"/>
        <v>549.26662499999998</v>
      </c>
    </row>
    <row r="10" spans="1:10" x14ac:dyDescent="0.25">
      <c r="A10" s="6"/>
      <c r="B10" s="144">
        <f t="shared" si="2"/>
        <v>8</v>
      </c>
      <c r="C10" s="144" t="s">
        <v>2</v>
      </c>
      <c r="D10" s="143">
        <v>46.732500000000002</v>
      </c>
      <c r="E10" s="144">
        <v>0.9</v>
      </c>
      <c r="F10" s="144">
        <f>F9</f>
        <v>16</v>
      </c>
      <c r="G10" s="47">
        <v>5</v>
      </c>
      <c r="H10" s="47">
        <f t="shared" si="0"/>
        <v>152.5740625</v>
      </c>
      <c r="I10" s="144" t="s">
        <v>118</v>
      </c>
      <c r="J10" s="65">
        <f t="shared" si="1"/>
        <v>549.26662499999998</v>
      </c>
    </row>
    <row r="11" spans="1:10" x14ac:dyDescent="0.25">
      <c r="A11" s="6"/>
      <c r="B11" s="144">
        <f t="shared" si="2"/>
        <v>9</v>
      </c>
      <c r="C11" s="144" t="s">
        <v>3</v>
      </c>
      <c r="D11" s="143">
        <v>46.702500000000001</v>
      </c>
      <c r="E11" s="144">
        <v>0.9</v>
      </c>
      <c r="F11" s="144">
        <f>F10</f>
        <v>16</v>
      </c>
      <c r="G11" s="47">
        <v>5</v>
      </c>
      <c r="H11" s="47">
        <f t="shared" si="0"/>
        <v>152.5403125</v>
      </c>
      <c r="I11" s="144" t="s">
        <v>118</v>
      </c>
      <c r="J11" s="65">
        <f t="shared" si="1"/>
        <v>549.14512500000001</v>
      </c>
    </row>
    <row r="12" spans="1:10" x14ac:dyDescent="0.25">
      <c r="A12" s="6"/>
      <c r="B12" s="144">
        <f t="shared" si="2"/>
        <v>10</v>
      </c>
      <c r="C12" s="144" t="s">
        <v>4</v>
      </c>
      <c r="D12" s="143">
        <v>46.732500000000002</v>
      </c>
      <c r="E12" s="144">
        <v>0.9</v>
      </c>
      <c r="F12" s="144">
        <f>F11</f>
        <v>16</v>
      </c>
      <c r="G12" s="47">
        <v>5</v>
      </c>
      <c r="H12" s="47">
        <f t="shared" si="0"/>
        <v>152.5740625</v>
      </c>
      <c r="I12" s="144" t="s">
        <v>118</v>
      </c>
      <c r="J12" s="65">
        <f t="shared" si="1"/>
        <v>549.26662499999998</v>
      </c>
    </row>
    <row r="13" spans="1:10" x14ac:dyDescent="0.25">
      <c r="A13" s="6"/>
      <c r="B13" s="144">
        <f t="shared" si="2"/>
        <v>11</v>
      </c>
      <c r="C13" s="144" t="s">
        <v>19</v>
      </c>
      <c r="D13" s="143">
        <v>39.782499999999999</v>
      </c>
      <c r="E13" s="144">
        <v>0.9</v>
      </c>
      <c r="F13" s="144">
        <v>16</v>
      </c>
      <c r="G13" s="47">
        <v>5</v>
      </c>
      <c r="H13" s="47">
        <f t="shared" si="0"/>
        <v>144.75531249999997</v>
      </c>
      <c r="I13" s="144" t="s">
        <v>118</v>
      </c>
      <c r="J13" s="65">
        <f t="shared" si="1"/>
        <v>521.11912499999994</v>
      </c>
    </row>
    <row r="14" spans="1:10" x14ac:dyDescent="0.25">
      <c r="A14" s="6"/>
      <c r="B14" s="144">
        <f t="shared" si="2"/>
        <v>12</v>
      </c>
      <c r="C14" s="144" t="s">
        <v>20</v>
      </c>
      <c r="D14" s="143">
        <v>39.782499999999999</v>
      </c>
      <c r="E14" s="144">
        <v>0.9</v>
      </c>
      <c r="F14" s="144">
        <v>16</v>
      </c>
      <c r="G14" s="47">
        <v>5</v>
      </c>
      <c r="H14" s="47">
        <f t="shared" si="0"/>
        <v>144.75531249999997</v>
      </c>
      <c r="I14" s="144" t="s">
        <v>118</v>
      </c>
      <c r="J14" s="65">
        <f t="shared" si="1"/>
        <v>521.11912499999994</v>
      </c>
    </row>
    <row r="15" spans="1:10" x14ac:dyDescent="0.25">
      <c r="A15" s="6"/>
      <c r="B15" s="144">
        <f t="shared" si="2"/>
        <v>13</v>
      </c>
      <c r="C15" s="144" t="s">
        <v>18</v>
      </c>
      <c r="D15" s="143">
        <v>40.138800000000003</v>
      </c>
      <c r="E15" s="144">
        <v>0.9</v>
      </c>
      <c r="F15" s="144">
        <v>16</v>
      </c>
      <c r="G15" s="47">
        <v>5</v>
      </c>
      <c r="H15" s="47">
        <f t="shared" si="0"/>
        <v>145.15615</v>
      </c>
      <c r="I15" s="144" t="s">
        <v>118</v>
      </c>
      <c r="J15" s="65">
        <f t="shared" si="1"/>
        <v>522.56214</v>
      </c>
    </row>
    <row r="16" spans="1:10" x14ac:dyDescent="0.25">
      <c r="A16" s="6"/>
      <c r="B16" s="144">
        <f t="shared" si="2"/>
        <v>14</v>
      </c>
      <c r="C16" s="144" t="s">
        <v>17</v>
      </c>
      <c r="D16" s="143">
        <v>40.138800000000003</v>
      </c>
      <c r="E16" s="144">
        <v>0.9</v>
      </c>
      <c r="F16" s="144">
        <v>16</v>
      </c>
      <c r="G16" s="47">
        <v>5</v>
      </c>
      <c r="H16" s="47">
        <f t="shared" si="0"/>
        <v>145.15615</v>
      </c>
      <c r="I16" s="144" t="s">
        <v>118</v>
      </c>
      <c r="J16" s="65">
        <f t="shared" si="1"/>
        <v>522.56214</v>
      </c>
    </row>
    <row r="17" spans="1:10" x14ac:dyDescent="0.25">
      <c r="A17" s="6"/>
      <c r="B17" s="144">
        <f t="shared" si="2"/>
        <v>15</v>
      </c>
      <c r="C17" s="144" t="s">
        <v>16</v>
      </c>
      <c r="D17" s="143">
        <v>40.138800000000003</v>
      </c>
      <c r="E17" s="144">
        <v>0.9</v>
      </c>
      <c r="F17" s="144">
        <v>16</v>
      </c>
      <c r="G17" s="47">
        <v>5</v>
      </c>
      <c r="H17" s="47">
        <f t="shared" si="0"/>
        <v>145.15615</v>
      </c>
      <c r="I17" s="144" t="s">
        <v>118</v>
      </c>
      <c r="J17" s="65">
        <f t="shared" si="1"/>
        <v>522.56214</v>
      </c>
    </row>
    <row r="18" spans="1:10" x14ac:dyDescent="0.25">
      <c r="A18" s="6"/>
      <c r="B18" s="144">
        <f t="shared" si="2"/>
        <v>16</v>
      </c>
      <c r="C18" s="144" t="s">
        <v>15</v>
      </c>
      <c r="D18" s="143">
        <v>40.138800000000003</v>
      </c>
      <c r="E18" s="144">
        <v>0.9</v>
      </c>
      <c r="F18" s="36">
        <v>16</v>
      </c>
      <c r="G18" s="47">
        <v>5</v>
      </c>
      <c r="H18" s="47">
        <f t="shared" si="0"/>
        <v>145.15615</v>
      </c>
      <c r="I18" s="144" t="s">
        <v>118</v>
      </c>
      <c r="J18" s="65">
        <f t="shared" si="1"/>
        <v>522.56214</v>
      </c>
    </row>
    <row r="19" spans="1:10" x14ac:dyDescent="0.25">
      <c r="A19" s="6"/>
      <c r="B19" s="144">
        <f t="shared" si="2"/>
        <v>17</v>
      </c>
      <c r="C19" s="144" t="s">
        <v>14</v>
      </c>
      <c r="D19" s="143">
        <v>39.782499999999999</v>
      </c>
      <c r="E19" s="144">
        <v>0.9</v>
      </c>
      <c r="F19" s="36">
        <v>16</v>
      </c>
      <c r="G19" s="47">
        <v>5</v>
      </c>
      <c r="H19" s="47">
        <f t="shared" si="0"/>
        <v>144.75531249999997</v>
      </c>
      <c r="I19" s="144" t="s">
        <v>118</v>
      </c>
      <c r="J19" s="65">
        <f t="shared" si="1"/>
        <v>521.11912499999994</v>
      </c>
    </row>
    <row r="20" spans="1:10" x14ac:dyDescent="0.25">
      <c r="A20" s="6"/>
      <c r="B20" s="144">
        <f t="shared" si="2"/>
        <v>18</v>
      </c>
      <c r="C20" s="144" t="s">
        <v>13</v>
      </c>
      <c r="D20" s="143">
        <v>39.782499999999999</v>
      </c>
      <c r="E20" s="144">
        <v>0.9</v>
      </c>
      <c r="F20" s="36">
        <v>16</v>
      </c>
      <c r="G20" s="47">
        <v>5</v>
      </c>
      <c r="H20" s="47">
        <f t="shared" si="0"/>
        <v>144.75531249999997</v>
      </c>
      <c r="I20" s="144" t="s">
        <v>118</v>
      </c>
      <c r="J20" s="65">
        <f t="shared" si="1"/>
        <v>521.11912499999994</v>
      </c>
    </row>
    <row r="21" spans="1:10" x14ac:dyDescent="0.25">
      <c r="A21" s="6"/>
      <c r="B21" s="144">
        <f t="shared" si="2"/>
        <v>19</v>
      </c>
      <c r="C21" s="144" t="s">
        <v>21</v>
      </c>
      <c r="D21" s="143">
        <v>42.395000000000003</v>
      </c>
      <c r="E21" s="144">
        <v>0.9</v>
      </c>
      <c r="F21" s="36">
        <v>18</v>
      </c>
      <c r="G21" s="47">
        <v>3.8</v>
      </c>
      <c r="H21" s="47">
        <f t="shared" si="0"/>
        <v>133.19437499999998</v>
      </c>
      <c r="I21" s="144" t="s">
        <v>116</v>
      </c>
      <c r="J21" s="65">
        <f t="shared" si="1"/>
        <v>479.49974999999995</v>
      </c>
    </row>
    <row r="22" spans="1:10" x14ac:dyDescent="0.25">
      <c r="A22" s="6"/>
      <c r="B22" s="144">
        <f t="shared" si="2"/>
        <v>20</v>
      </c>
      <c r="C22" s="144" t="s">
        <v>22</v>
      </c>
      <c r="D22" s="143">
        <v>88.694999999999993</v>
      </c>
      <c r="E22" s="144">
        <v>0.9</v>
      </c>
      <c r="F22" s="36">
        <v>54</v>
      </c>
      <c r="G22" s="47">
        <v>3.8</v>
      </c>
      <c r="H22" s="47">
        <f t="shared" si="0"/>
        <v>356.28187499999996</v>
      </c>
      <c r="I22" s="144" t="s">
        <v>116</v>
      </c>
      <c r="J22" s="65">
        <f t="shared" si="1"/>
        <v>1282.61475</v>
      </c>
    </row>
    <row r="23" spans="1:10" x14ac:dyDescent="0.25">
      <c r="A23" s="6"/>
      <c r="B23" s="144">
        <f t="shared" si="2"/>
        <v>21</v>
      </c>
      <c r="C23" s="144" t="s">
        <v>23</v>
      </c>
      <c r="D23" s="143">
        <v>88.694999999999993</v>
      </c>
      <c r="E23" s="144">
        <v>0.6</v>
      </c>
      <c r="F23" s="36">
        <f>8*3+13</f>
        <v>37</v>
      </c>
      <c r="G23" s="47">
        <v>5</v>
      </c>
      <c r="H23" s="47">
        <f t="shared" si="0"/>
        <v>297.77124999999995</v>
      </c>
      <c r="I23" s="144" t="s">
        <v>120</v>
      </c>
      <c r="J23" s="65">
        <f t="shared" si="1"/>
        <v>1071.9764999999998</v>
      </c>
    </row>
    <row r="24" spans="1:10" x14ac:dyDescent="0.25">
      <c r="A24" s="6"/>
      <c r="B24" s="37">
        <f t="shared" si="2"/>
        <v>22</v>
      </c>
      <c r="C24" s="37" t="s">
        <v>24</v>
      </c>
      <c r="D24" s="42">
        <v>81.594999999999999</v>
      </c>
      <c r="E24" s="37">
        <v>0.3</v>
      </c>
      <c r="F24" s="36">
        <v>12</v>
      </c>
      <c r="G24" s="47">
        <v>10</v>
      </c>
      <c r="H24" s="47">
        <f t="shared" si="0"/>
        <v>180.59812499999998</v>
      </c>
      <c r="I24" s="37" t="s">
        <v>119</v>
      </c>
      <c r="J24" s="65">
        <f t="shared" si="1"/>
        <v>650.15324999999996</v>
      </c>
    </row>
    <row r="25" spans="1:10" x14ac:dyDescent="0.25">
      <c r="A25" s="6"/>
      <c r="B25" s="37">
        <f t="shared" si="2"/>
        <v>23</v>
      </c>
      <c r="C25" s="37" t="s">
        <v>109</v>
      </c>
      <c r="D25" s="42">
        <v>31.945</v>
      </c>
      <c r="E25" s="37">
        <v>0.6</v>
      </c>
      <c r="F25" s="36">
        <v>15</v>
      </c>
      <c r="G25" s="47">
        <v>5</v>
      </c>
      <c r="H25" s="47">
        <f t="shared" si="0"/>
        <v>117.70874999999999</v>
      </c>
      <c r="I25" s="37" t="s">
        <v>120</v>
      </c>
      <c r="J25" s="65">
        <f t="shared" si="1"/>
        <v>423.75149999999996</v>
      </c>
    </row>
    <row r="26" spans="1:10" x14ac:dyDescent="0.25">
      <c r="A26" s="6"/>
      <c r="B26" s="37">
        <f t="shared" si="2"/>
        <v>24</v>
      </c>
      <c r="C26" s="37" t="s">
        <v>110</v>
      </c>
      <c r="D26" s="42">
        <v>31.945</v>
      </c>
      <c r="E26" s="37">
        <v>0.6</v>
      </c>
      <c r="F26" s="36">
        <v>15</v>
      </c>
      <c r="G26" s="47">
        <v>5</v>
      </c>
      <c r="H26" s="47">
        <f t="shared" si="0"/>
        <v>117.70874999999999</v>
      </c>
      <c r="I26" s="37" t="s">
        <v>120</v>
      </c>
      <c r="J26" s="65">
        <f t="shared" si="1"/>
        <v>423.75149999999996</v>
      </c>
    </row>
    <row r="27" spans="1:10" x14ac:dyDescent="0.25">
      <c r="A27" s="6"/>
      <c r="B27" s="37">
        <f t="shared" si="2"/>
        <v>25</v>
      </c>
      <c r="C27" s="37" t="s">
        <v>81</v>
      </c>
      <c r="D27" s="42">
        <v>13.901199999999999</v>
      </c>
      <c r="E27" s="37">
        <v>0.3</v>
      </c>
      <c r="F27" s="36">
        <v>1</v>
      </c>
      <c r="G27" s="47">
        <v>2.5</v>
      </c>
      <c r="H27" s="47">
        <f t="shared" si="0"/>
        <v>8.3379499999999993</v>
      </c>
      <c r="I27" s="37" t="s">
        <v>117</v>
      </c>
      <c r="J27" s="65">
        <f t="shared" si="1"/>
        <v>30.01662</v>
      </c>
    </row>
    <row r="28" spans="1:10" x14ac:dyDescent="0.25">
      <c r="A28" s="6"/>
      <c r="B28" s="37">
        <f t="shared" si="2"/>
        <v>26</v>
      </c>
      <c r="C28" s="37" t="s">
        <v>82</v>
      </c>
      <c r="D28" s="42">
        <v>13.901199999999999</v>
      </c>
      <c r="E28" s="37">
        <v>0.3</v>
      </c>
      <c r="F28" s="36">
        <v>1</v>
      </c>
      <c r="G28" s="47">
        <v>2.5</v>
      </c>
      <c r="H28" s="47">
        <f t="shared" si="0"/>
        <v>8.3379499999999993</v>
      </c>
      <c r="I28" s="37" t="s">
        <v>117</v>
      </c>
      <c r="J28" s="65">
        <f t="shared" si="1"/>
        <v>30.01662</v>
      </c>
    </row>
    <row r="29" spans="1:10" x14ac:dyDescent="0.25">
      <c r="A29" s="6"/>
      <c r="B29" s="37">
        <f t="shared" si="2"/>
        <v>27</v>
      </c>
      <c r="C29" s="37" t="s">
        <v>83</v>
      </c>
      <c r="D29" s="42">
        <v>13.901199999999999</v>
      </c>
      <c r="E29" s="37">
        <v>0.3</v>
      </c>
      <c r="F29" s="36">
        <v>1</v>
      </c>
      <c r="G29" s="47">
        <v>2.5</v>
      </c>
      <c r="H29" s="47">
        <f t="shared" si="0"/>
        <v>8.3379499999999993</v>
      </c>
      <c r="I29" s="37" t="s">
        <v>117</v>
      </c>
      <c r="J29" s="65">
        <f t="shared" si="1"/>
        <v>30.01662</v>
      </c>
    </row>
    <row r="30" spans="1:10" x14ac:dyDescent="0.25">
      <c r="A30" s="6"/>
      <c r="B30" s="144">
        <f t="shared" si="2"/>
        <v>28</v>
      </c>
      <c r="C30" s="144" t="s">
        <v>84</v>
      </c>
      <c r="D30" s="143">
        <v>13.901199999999999</v>
      </c>
      <c r="E30" s="144">
        <v>0.3</v>
      </c>
      <c r="F30" s="36">
        <v>1</v>
      </c>
      <c r="G30" s="47">
        <v>2.5</v>
      </c>
      <c r="H30" s="47">
        <f t="shared" si="0"/>
        <v>8.3379499999999993</v>
      </c>
      <c r="I30" s="144" t="s">
        <v>117</v>
      </c>
      <c r="J30" s="65">
        <f t="shared" si="1"/>
        <v>30.01662</v>
      </c>
    </row>
    <row r="31" spans="1:10" x14ac:dyDescent="0.25">
      <c r="A31" s="6"/>
      <c r="B31" s="36">
        <f t="shared" si="2"/>
        <v>29</v>
      </c>
      <c r="C31" s="36" t="s">
        <v>25</v>
      </c>
      <c r="D31" s="51">
        <v>12.074999999999999</v>
      </c>
      <c r="E31" s="36"/>
      <c r="F31" s="36">
        <v>4</v>
      </c>
      <c r="G31" s="54"/>
      <c r="H31" s="54">
        <f t="shared" si="0"/>
        <v>0</v>
      </c>
      <c r="I31" s="36" t="s">
        <v>170</v>
      </c>
      <c r="J31" s="65">
        <f t="shared" si="1"/>
        <v>0</v>
      </c>
    </row>
    <row r="32" spans="1:10" x14ac:dyDescent="0.25">
      <c r="A32" s="6"/>
      <c r="B32" s="144">
        <f>B31+1</f>
        <v>30</v>
      </c>
      <c r="C32" s="144" t="s">
        <v>26</v>
      </c>
      <c r="D32" s="143">
        <v>12.074999999999999</v>
      </c>
      <c r="E32" s="144">
        <v>0.3</v>
      </c>
      <c r="F32" s="36">
        <v>3</v>
      </c>
      <c r="G32" s="47">
        <v>2.5</v>
      </c>
      <c r="H32" s="47">
        <f t="shared" si="0"/>
        <v>13.903124999999998</v>
      </c>
      <c r="I32" s="144" t="s">
        <v>117</v>
      </c>
      <c r="J32" s="65">
        <f t="shared" si="1"/>
        <v>50.051249999999989</v>
      </c>
    </row>
    <row r="33" spans="1:10" x14ac:dyDescent="0.25">
      <c r="A33" s="6"/>
      <c r="B33" s="144">
        <f t="shared" si="2"/>
        <v>31</v>
      </c>
      <c r="C33" s="144" t="s">
        <v>26</v>
      </c>
      <c r="D33" s="143">
        <v>12.074999999999999</v>
      </c>
      <c r="E33" s="144">
        <v>0.3</v>
      </c>
      <c r="F33" s="36">
        <v>3</v>
      </c>
      <c r="G33" s="47">
        <v>2.5</v>
      </c>
      <c r="H33" s="47">
        <f t="shared" si="0"/>
        <v>13.903124999999998</v>
      </c>
      <c r="I33" s="144" t="s">
        <v>117</v>
      </c>
      <c r="J33" s="65">
        <f t="shared" si="1"/>
        <v>50.051249999999989</v>
      </c>
    </row>
    <row r="34" spans="1:10" x14ac:dyDescent="0.25">
      <c r="A34" s="6"/>
      <c r="B34" s="144">
        <f t="shared" si="2"/>
        <v>32</v>
      </c>
      <c r="C34" s="144" t="s">
        <v>27</v>
      </c>
      <c r="D34" s="143">
        <v>30.946300000000001</v>
      </c>
      <c r="E34" s="144">
        <v>0.3</v>
      </c>
      <c r="F34" s="36">
        <v>9</v>
      </c>
      <c r="G34" s="47">
        <v>2.5</v>
      </c>
      <c r="H34" s="54">
        <f t="shared" si="0"/>
        <v>39.729862499999996</v>
      </c>
      <c r="I34" s="144" t="s">
        <v>121</v>
      </c>
      <c r="J34" s="65">
        <f t="shared" si="1"/>
        <v>143.02750499999999</v>
      </c>
    </row>
    <row r="35" spans="1:10" x14ac:dyDescent="0.25">
      <c r="A35" s="6"/>
      <c r="B35" s="144">
        <f t="shared" si="2"/>
        <v>33</v>
      </c>
      <c r="C35" s="144" t="s">
        <v>28</v>
      </c>
      <c r="D35" s="143">
        <v>15.851900000000001</v>
      </c>
      <c r="E35" s="144">
        <v>0.3</v>
      </c>
      <c r="F35" s="36">
        <v>3</v>
      </c>
      <c r="G35" s="47">
        <v>2.5</v>
      </c>
      <c r="H35" s="47">
        <f t="shared" si="0"/>
        <v>15.319462499999998</v>
      </c>
      <c r="I35" s="144" t="s">
        <v>122</v>
      </c>
      <c r="J35" s="65">
        <f t="shared" si="1"/>
        <v>55.150064999999998</v>
      </c>
    </row>
    <row r="36" spans="1:10" x14ac:dyDescent="0.25">
      <c r="A36" s="6"/>
      <c r="B36" s="144">
        <f t="shared" si="2"/>
        <v>34</v>
      </c>
      <c r="C36" s="144" t="s">
        <v>29</v>
      </c>
      <c r="D36" s="143">
        <v>14.6563</v>
      </c>
      <c r="E36" s="144">
        <v>0.3</v>
      </c>
      <c r="F36" s="36">
        <v>7</v>
      </c>
      <c r="G36" s="47">
        <v>2.5</v>
      </c>
      <c r="H36" s="47">
        <f t="shared" si="0"/>
        <v>27.371112499999999</v>
      </c>
      <c r="I36" s="144" t="s">
        <v>117</v>
      </c>
      <c r="J36" s="65">
        <f t="shared" si="1"/>
        <v>98.536005000000003</v>
      </c>
    </row>
    <row r="37" spans="1:10" x14ac:dyDescent="0.25">
      <c r="A37" s="6"/>
      <c r="B37" s="144">
        <f t="shared" si="2"/>
        <v>35</v>
      </c>
      <c r="C37" s="144" t="s">
        <v>87</v>
      </c>
      <c r="D37" s="143">
        <v>12.074999999999999</v>
      </c>
      <c r="E37" s="144">
        <v>0.3</v>
      </c>
      <c r="F37" s="36">
        <v>1</v>
      </c>
      <c r="G37" s="47">
        <v>2.5</v>
      </c>
      <c r="H37" s="47">
        <f t="shared" si="0"/>
        <v>7.6531249999999993</v>
      </c>
      <c r="I37" s="144" t="s">
        <v>117</v>
      </c>
      <c r="J37" s="65">
        <f t="shared" si="1"/>
        <v>27.55125</v>
      </c>
    </row>
    <row r="38" spans="1:10" x14ac:dyDescent="0.25">
      <c r="A38" s="6"/>
      <c r="B38" s="144">
        <f t="shared" si="2"/>
        <v>36</v>
      </c>
      <c r="C38" s="144" t="s">
        <v>30</v>
      </c>
      <c r="D38" s="143">
        <v>12.074999999999999</v>
      </c>
      <c r="E38" s="144">
        <v>0.3</v>
      </c>
      <c r="F38" s="36">
        <v>10</v>
      </c>
      <c r="G38" s="47">
        <v>2.5</v>
      </c>
      <c r="H38" s="47">
        <f t="shared" si="0"/>
        <v>35.778124999999996</v>
      </c>
      <c r="I38" s="144" t="s">
        <v>122</v>
      </c>
      <c r="J38" s="65">
        <f t="shared" si="1"/>
        <v>128.80124999999998</v>
      </c>
    </row>
    <row r="39" spans="1:10" x14ac:dyDescent="0.25">
      <c r="A39" s="6"/>
      <c r="B39" s="144">
        <f t="shared" si="2"/>
        <v>37</v>
      </c>
      <c r="C39" s="144" t="s">
        <v>31</v>
      </c>
      <c r="D39" s="143">
        <v>11.974399999999999</v>
      </c>
      <c r="E39" s="144">
        <v>0.9</v>
      </c>
      <c r="F39" s="36">
        <v>1</v>
      </c>
      <c r="G39" s="47">
        <v>5</v>
      </c>
      <c r="H39" s="54">
        <f t="shared" si="0"/>
        <v>19.721199999999996</v>
      </c>
      <c r="I39" s="144" t="s">
        <v>123</v>
      </c>
      <c r="J39" s="65">
        <f t="shared" si="1"/>
        <v>70.996319999999983</v>
      </c>
    </row>
    <row r="40" spans="1:10" x14ac:dyDescent="0.25">
      <c r="A40" s="6"/>
      <c r="B40" s="144">
        <f t="shared" si="2"/>
        <v>38</v>
      </c>
      <c r="C40" s="144" t="s">
        <v>32</v>
      </c>
      <c r="D40" s="143">
        <v>47.163800000000002</v>
      </c>
      <c r="E40" s="144">
        <v>0.9</v>
      </c>
      <c r="F40" s="36">
        <v>16</v>
      </c>
      <c r="G40" s="47">
        <v>5</v>
      </c>
      <c r="H40" s="47">
        <f t="shared" si="0"/>
        <v>153.05927499999999</v>
      </c>
      <c r="I40" s="144" t="s">
        <v>118</v>
      </c>
      <c r="J40" s="65">
        <f t="shared" si="1"/>
        <v>551.01338999999996</v>
      </c>
    </row>
    <row r="41" spans="1:10" x14ac:dyDescent="0.25">
      <c r="A41" s="6"/>
      <c r="B41" s="144">
        <f t="shared" si="2"/>
        <v>39</v>
      </c>
      <c r="C41" s="144" t="s">
        <v>33</v>
      </c>
      <c r="D41" s="143">
        <v>47.163800000000002</v>
      </c>
      <c r="E41" s="144">
        <v>0.9</v>
      </c>
      <c r="F41" s="36">
        <v>16</v>
      </c>
      <c r="G41" s="47">
        <v>5</v>
      </c>
      <c r="H41" s="47">
        <f t="shared" si="0"/>
        <v>153.05927499999999</v>
      </c>
      <c r="I41" s="144" t="s">
        <v>118</v>
      </c>
      <c r="J41" s="65">
        <f t="shared" si="1"/>
        <v>551.01338999999996</v>
      </c>
    </row>
    <row r="42" spans="1:10" x14ac:dyDescent="0.25">
      <c r="A42" s="6"/>
      <c r="B42" s="144">
        <f t="shared" si="2"/>
        <v>40</v>
      </c>
      <c r="C42" s="144" t="s">
        <v>34</v>
      </c>
      <c r="D42" s="143">
        <v>47.163800000000002</v>
      </c>
      <c r="E42" s="144">
        <v>0.9</v>
      </c>
      <c r="F42" s="36">
        <v>16</v>
      </c>
      <c r="G42" s="47">
        <v>5</v>
      </c>
      <c r="H42" s="47">
        <f t="shared" si="0"/>
        <v>153.05927499999999</v>
      </c>
      <c r="I42" s="144" t="s">
        <v>118</v>
      </c>
      <c r="J42" s="65">
        <f t="shared" si="1"/>
        <v>551.01338999999996</v>
      </c>
    </row>
    <row r="43" spans="1:10" x14ac:dyDescent="0.25">
      <c r="A43" s="6"/>
      <c r="B43" s="144">
        <f t="shared" si="2"/>
        <v>41</v>
      </c>
      <c r="C43" s="144" t="s">
        <v>35</v>
      </c>
      <c r="D43" s="143">
        <v>47.163800000000002</v>
      </c>
      <c r="E43" s="144">
        <v>0.9</v>
      </c>
      <c r="F43" s="36">
        <v>16</v>
      </c>
      <c r="G43" s="47">
        <v>5</v>
      </c>
      <c r="H43" s="47">
        <f t="shared" si="0"/>
        <v>153.05927499999999</v>
      </c>
      <c r="I43" s="144" t="s">
        <v>118</v>
      </c>
      <c r="J43" s="65">
        <f t="shared" si="1"/>
        <v>551.01338999999996</v>
      </c>
    </row>
    <row r="44" spans="1:10" x14ac:dyDescent="0.25">
      <c r="A44" s="6"/>
      <c r="B44" s="144">
        <f t="shared" si="2"/>
        <v>42</v>
      </c>
      <c r="C44" s="144" t="s">
        <v>38</v>
      </c>
      <c r="D44" s="143">
        <v>45.281500000000001</v>
      </c>
      <c r="E44" s="144">
        <v>0.3</v>
      </c>
      <c r="F44" s="36">
        <v>11</v>
      </c>
      <c r="G44" s="47">
        <v>2.5</v>
      </c>
      <c r="H44" s="54">
        <f t="shared" si="0"/>
        <v>51.355562500000005</v>
      </c>
      <c r="I44" s="144" t="s">
        <v>136</v>
      </c>
      <c r="J44" s="65">
        <f t="shared" si="1"/>
        <v>184.88002500000002</v>
      </c>
    </row>
    <row r="45" spans="1:10" x14ac:dyDescent="0.25">
      <c r="A45" s="6"/>
      <c r="B45" s="144">
        <f t="shared" si="2"/>
        <v>43</v>
      </c>
      <c r="C45" s="144" t="s">
        <v>37</v>
      </c>
      <c r="D45" s="143">
        <v>350.73739999999998</v>
      </c>
      <c r="E45" s="144">
        <v>0.3</v>
      </c>
      <c r="F45" s="36"/>
      <c r="G45" s="47">
        <v>2.5</v>
      </c>
      <c r="H45" s="54">
        <f t="shared" si="0"/>
        <v>131.52652499999996</v>
      </c>
      <c r="I45" s="144" t="s">
        <v>124</v>
      </c>
      <c r="J45" s="65">
        <f t="shared" si="1"/>
        <v>473.4954899999999</v>
      </c>
    </row>
    <row r="46" spans="1:10" x14ac:dyDescent="0.25">
      <c r="B46" s="144">
        <f t="shared" si="2"/>
        <v>44</v>
      </c>
      <c r="C46" s="144" t="s">
        <v>39</v>
      </c>
      <c r="D46" s="143">
        <v>83.472499999999997</v>
      </c>
      <c r="E46" s="144">
        <v>2.4</v>
      </c>
      <c r="F46" s="36"/>
      <c r="G46" s="47"/>
      <c r="H46" s="47">
        <f t="shared" si="0"/>
        <v>250.41749999999996</v>
      </c>
      <c r="I46" s="144" t="s">
        <v>125</v>
      </c>
      <c r="J46" s="65">
        <f t="shared" si="1"/>
        <v>901.50299999999993</v>
      </c>
    </row>
    <row r="47" spans="1:10" x14ac:dyDescent="0.25">
      <c r="B47" s="144">
        <f t="shared" si="2"/>
        <v>45</v>
      </c>
      <c r="C47" s="144" t="s">
        <v>155</v>
      </c>
      <c r="D47" s="143">
        <v>9.1</v>
      </c>
      <c r="E47" s="144">
        <v>0.3</v>
      </c>
      <c r="F47" s="36">
        <v>2</v>
      </c>
      <c r="G47" s="47">
        <v>2.5</v>
      </c>
      <c r="H47" s="47">
        <f>(D47*E47+F47*G47)/0.8</f>
        <v>9.6624999999999996</v>
      </c>
      <c r="I47" s="144" t="s">
        <v>117</v>
      </c>
      <c r="J47" s="65">
        <f t="shared" si="1"/>
        <v>34.784999999999997</v>
      </c>
    </row>
    <row r="48" spans="1:10" x14ac:dyDescent="0.25">
      <c r="B48" s="144">
        <f t="shared" si="2"/>
        <v>46</v>
      </c>
      <c r="C48" s="144" t="s">
        <v>154</v>
      </c>
      <c r="D48" s="143">
        <v>37.1</v>
      </c>
      <c r="E48" s="144">
        <v>0.3</v>
      </c>
      <c r="F48" s="7"/>
      <c r="G48" s="7"/>
      <c r="H48" s="47">
        <f>(D48*E48+F48*G48)/0.8</f>
        <v>13.9125</v>
      </c>
      <c r="I48" s="7"/>
      <c r="J48" s="65">
        <f t="shared" si="1"/>
        <v>50.085000000000001</v>
      </c>
    </row>
    <row r="49" spans="2:10" x14ac:dyDescent="0.25">
      <c r="B49" s="73"/>
      <c r="C49" s="37"/>
      <c r="D49" s="42">
        <f>SUM(D3:D48)</f>
        <v>2057.2694000000006</v>
      </c>
      <c r="E49" s="73"/>
      <c r="F49" s="73"/>
      <c r="G49" s="74"/>
      <c r="H49" s="75"/>
      <c r="I49" s="73"/>
      <c r="J49" s="181"/>
    </row>
    <row r="50" spans="2:10" x14ac:dyDescent="0.25">
      <c r="J50" s="181"/>
    </row>
    <row r="51" spans="2:10" x14ac:dyDescent="0.25">
      <c r="C51" s="5" t="s">
        <v>0</v>
      </c>
      <c r="D51" s="107" t="s">
        <v>260</v>
      </c>
      <c r="E51" s="5" t="s">
        <v>278</v>
      </c>
      <c r="F51" s="107" t="s">
        <v>284</v>
      </c>
      <c r="G51" s="3" t="s">
        <v>282</v>
      </c>
      <c r="H51" s="3" t="s">
        <v>281</v>
      </c>
      <c r="I51" s="156" t="s">
        <v>408</v>
      </c>
      <c r="J51" s="181"/>
    </row>
    <row r="52" spans="2:10" x14ac:dyDescent="0.25">
      <c r="B52" s="37">
        <f>1</f>
        <v>1</v>
      </c>
      <c r="C52" s="4" t="s">
        <v>259</v>
      </c>
      <c r="D52" s="8">
        <v>4.5</v>
      </c>
      <c r="E52" s="107">
        <v>1</v>
      </c>
      <c r="F52" s="47">
        <v>35</v>
      </c>
      <c r="G52" s="128">
        <f>F52*E52</f>
        <v>35</v>
      </c>
      <c r="H52" s="37" t="s">
        <v>279</v>
      </c>
      <c r="I52" s="65">
        <f>G52*3.6</f>
        <v>126</v>
      </c>
      <c r="J52" s="181"/>
    </row>
    <row r="53" spans="2:10" x14ac:dyDescent="0.25">
      <c r="B53" s="37">
        <f t="shared" ref="B53:B74" si="3">B52+1</f>
        <v>2</v>
      </c>
      <c r="C53" s="4" t="s">
        <v>261</v>
      </c>
      <c r="D53" s="8">
        <v>6.9</v>
      </c>
      <c r="E53" s="107">
        <v>3</v>
      </c>
      <c r="F53" s="47">
        <v>35</v>
      </c>
      <c r="G53" s="128">
        <f t="shared" ref="G53:G78" si="4">F53*E53</f>
        <v>105</v>
      </c>
      <c r="H53" s="37" t="s">
        <v>279</v>
      </c>
      <c r="I53" s="65">
        <f t="shared" ref="I53:I78" si="5">G53*3.6</f>
        <v>378</v>
      </c>
      <c r="J53" s="181"/>
    </row>
    <row r="54" spans="2:10" x14ac:dyDescent="0.25">
      <c r="B54" s="37">
        <f t="shared" si="3"/>
        <v>3</v>
      </c>
      <c r="C54" s="4" t="s">
        <v>285</v>
      </c>
      <c r="D54" s="8">
        <v>6.9</v>
      </c>
      <c r="E54" s="107">
        <v>3</v>
      </c>
      <c r="F54" s="47">
        <v>35</v>
      </c>
      <c r="G54" s="128">
        <f t="shared" si="4"/>
        <v>105</v>
      </c>
      <c r="H54" s="37" t="s">
        <v>279</v>
      </c>
      <c r="I54" s="65">
        <f t="shared" si="5"/>
        <v>378</v>
      </c>
      <c r="J54" s="181"/>
    </row>
    <row r="55" spans="2:10" x14ac:dyDescent="0.25">
      <c r="B55" s="37">
        <f t="shared" si="3"/>
        <v>4</v>
      </c>
      <c r="C55" s="4" t="s">
        <v>262</v>
      </c>
      <c r="D55" s="8">
        <v>6.9</v>
      </c>
      <c r="E55" s="107">
        <v>1</v>
      </c>
      <c r="F55" s="47">
        <v>35</v>
      </c>
      <c r="G55" s="128">
        <f t="shared" si="4"/>
        <v>35</v>
      </c>
      <c r="H55" s="37" t="s">
        <v>279</v>
      </c>
      <c r="I55" s="65">
        <f t="shared" si="5"/>
        <v>126</v>
      </c>
      <c r="J55" s="181"/>
    </row>
    <row r="56" spans="2:10" x14ac:dyDescent="0.25">
      <c r="B56" s="37">
        <f t="shared" si="3"/>
        <v>5</v>
      </c>
      <c r="C56" s="4" t="s">
        <v>263</v>
      </c>
      <c r="D56" s="8">
        <v>6.9</v>
      </c>
      <c r="E56" s="107">
        <v>1</v>
      </c>
      <c r="F56" s="47">
        <v>35</v>
      </c>
      <c r="G56" s="128">
        <f t="shared" si="4"/>
        <v>35</v>
      </c>
      <c r="H56" s="37" t="s">
        <v>279</v>
      </c>
      <c r="I56" s="65">
        <f t="shared" si="5"/>
        <v>126</v>
      </c>
      <c r="J56" s="181"/>
    </row>
    <row r="57" spans="2:10" x14ac:dyDescent="0.25">
      <c r="B57" s="37">
        <f t="shared" si="3"/>
        <v>6</v>
      </c>
      <c r="C57" s="4" t="s">
        <v>264</v>
      </c>
      <c r="D57" s="8">
        <v>6.9</v>
      </c>
      <c r="E57" s="107">
        <v>1</v>
      </c>
      <c r="F57" s="47">
        <v>35</v>
      </c>
      <c r="G57" s="128">
        <f t="shared" si="4"/>
        <v>35</v>
      </c>
      <c r="H57" s="37" t="s">
        <v>279</v>
      </c>
      <c r="I57" s="65">
        <f t="shared" si="5"/>
        <v>126</v>
      </c>
      <c r="J57" s="181"/>
    </row>
    <row r="58" spans="2:10" x14ac:dyDescent="0.25">
      <c r="B58" s="37">
        <f t="shared" si="3"/>
        <v>7</v>
      </c>
      <c r="C58" s="4" t="s">
        <v>265</v>
      </c>
      <c r="D58" s="8">
        <v>6.9</v>
      </c>
      <c r="E58" s="107">
        <v>1</v>
      </c>
      <c r="F58" s="47">
        <v>35</v>
      </c>
      <c r="G58" s="128">
        <f t="shared" si="4"/>
        <v>35</v>
      </c>
      <c r="H58" s="37" t="s">
        <v>279</v>
      </c>
      <c r="I58" s="65">
        <f t="shared" si="5"/>
        <v>126</v>
      </c>
      <c r="J58" s="181"/>
    </row>
    <row r="59" spans="2:10" x14ac:dyDescent="0.25">
      <c r="B59" s="37">
        <f t="shared" si="3"/>
        <v>8</v>
      </c>
      <c r="C59" s="4" t="s">
        <v>266</v>
      </c>
      <c r="D59" s="8">
        <v>20.5</v>
      </c>
      <c r="E59" s="107">
        <v>7</v>
      </c>
      <c r="F59" s="47">
        <v>35</v>
      </c>
      <c r="G59" s="128">
        <f t="shared" si="4"/>
        <v>245</v>
      </c>
      <c r="H59" s="37" t="s">
        <v>279</v>
      </c>
      <c r="I59" s="65">
        <f t="shared" si="5"/>
        <v>882</v>
      </c>
      <c r="J59" s="181"/>
    </row>
    <row r="60" spans="2:10" x14ac:dyDescent="0.25">
      <c r="B60" s="37">
        <f t="shared" si="3"/>
        <v>9</v>
      </c>
      <c r="C60" s="4" t="s">
        <v>267</v>
      </c>
      <c r="D60" s="8">
        <v>20.5</v>
      </c>
      <c r="E60" s="107">
        <v>7</v>
      </c>
      <c r="F60" s="47">
        <v>35</v>
      </c>
      <c r="G60" s="128">
        <f t="shared" si="4"/>
        <v>245</v>
      </c>
      <c r="H60" s="37" t="s">
        <v>279</v>
      </c>
      <c r="I60" s="65">
        <f t="shared" si="5"/>
        <v>882</v>
      </c>
      <c r="J60" s="181"/>
    </row>
    <row r="61" spans="2:10" x14ac:dyDescent="0.25">
      <c r="B61" s="37">
        <f t="shared" si="3"/>
        <v>10</v>
      </c>
      <c r="C61" s="4" t="s">
        <v>268</v>
      </c>
      <c r="D61" s="8">
        <v>17.55</v>
      </c>
      <c r="E61" s="107">
        <v>6</v>
      </c>
      <c r="F61" s="47">
        <v>35</v>
      </c>
      <c r="G61" s="128">
        <f t="shared" si="4"/>
        <v>210</v>
      </c>
      <c r="H61" s="37" t="s">
        <v>279</v>
      </c>
      <c r="I61" s="65">
        <f t="shared" si="5"/>
        <v>756</v>
      </c>
      <c r="J61" s="181"/>
    </row>
    <row r="62" spans="2:10" x14ac:dyDescent="0.25">
      <c r="B62" s="37">
        <f t="shared" si="3"/>
        <v>11</v>
      </c>
      <c r="C62" s="4" t="s">
        <v>269</v>
      </c>
      <c r="D62" s="8">
        <v>17.55</v>
      </c>
      <c r="E62" s="107">
        <v>6</v>
      </c>
      <c r="F62" s="47">
        <v>35</v>
      </c>
      <c r="G62" s="128">
        <f t="shared" si="4"/>
        <v>210</v>
      </c>
      <c r="H62" s="37" t="s">
        <v>279</v>
      </c>
      <c r="I62" s="65">
        <f t="shared" si="5"/>
        <v>756</v>
      </c>
    </row>
    <row r="63" spans="2:10" x14ac:dyDescent="0.25">
      <c r="B63" s="37">
        <f t="shared" si="3"/>
        <v>12</v>
      </c>
      <c r="C63" s="7" t="s">
        <v>270</v>
      </c>
      <c r="D63" s="42">
        <v>7.2</v>
      </c>
      <c r="E63" s="37">
        <v>1</v>
      </c>
      <c r="F63" s="47">
        <v>35</v>
      </c>
      <c r="G63" s="128">
        <f t="shared" si="4"/>
        <v>35</v>
      </c>
      <c r="H63" s="37" t="s">
        <v>279</v>
      </c>
      <c r="I63" s="65">
        <f t="shared" si="5"/>
        <v>126</v>
      </c>
    </row>
    <row r="64" spans="2:10" x14ac:dyDescent="0.25">
      <c r="B64" s="37">
        <f t="shared" si="3"/>
        <v>13</v>
      </c>
      <c r="C64" s="7" t="s">
        <v>271</v>
      </c>
      <c r="D64" s="42">
        <v>16.2</v>
      </c>
      <c r="E64" s="37">
        <v>4</v>
      </c>
      <c r="F64" s="47">
        <v>35</v>
      </c>
      <c r="G64" s="128">
        <f t="shared" si="4"/>
        <v>140</v>
      </c>
      <c r="H64" s="37" t="s">
        <v>279</v>
      </c>
      <c r="I64" s="65">
        <f t="shared" si="5"/>
        <v>504</v>
      </c>
    </row>
    <row r="65" spans="2:9" x14ac:dyDescent="0.25">
      <c r="B65" s="37">
        <f t="shared" si="3"/>
        <v>14</v>
      </c>
      <c r="C65" s="7" t="s">
        <v>272</v>
      </c>
      <c r="D65" s="42">
        <v>4</v>
      </c>
      <c r="E65" s="37">
        <v>1</v>
      </c>
      <c r="F65" s="47">
        <v>35</v>
      </c>
      <c r="G65" s="128">
        <f t="shared" si="4"/>
        <v>35</v>
      </c>
      <c r="H65" s="37" t="s">
        <v>279</v>
      </c>
      <c r="I65" s="65">
        <f t="shared" si="5"/>
        <v>126</v>
      </c>
    </row>
    <row r="66" spans="2:9" x14ac:dyDescent="0.25">
      <c r="B66" s="37">
        <f t="shared" si="3"/>
        <v>15</v>
      </c>
      <c r="C66" s="7" t="s">
        <v>273</v>
      </c>
      <c r="D66" s="42">
        <v>4</v>
      </c>
      <c r="E66" s="37">
        <v>1</v>
      </c>
      <c r="F66" s="47">
        <v>35</v>
      </c>
      <c r="G66" s="128">
        <f t="shared" si="4"/>
        <v>35</v>
      </c>
      <c r="H66" s="37" t="s">
        <v>279</v>
      </c>
      <c r="I66" s="65">
        <f t="shared" si="5"/>
        <v>126</v>
      </c>
    </row>
    <row r="67" spans="2:9" x14ac:dyDescent="0.25">
      <c r="B67" s="37">
        <f t="shared" si="3"/>
        <v>16</v>
      </c>
      <c r="C67" s="7" t="s">
        <v>274</v>
      </c>
      <c r="D67" s="42">
        <v>9.5</v>
      </c>
      <c r="E67" s="37">
        <v>4</v>
      </c>
      <c r="F67" s="47">
        <v>35</v>
      </c>
      <c r="G67" s="128">
        <f t="shared" si="4"/>
        <v>140</v>
      </c>
      <c r="H67" s="37" t="s">
        <v>279</v>
      </c>
      <c r="I67" s="65">
        <f t="shared" si="5"/>
        <v>504</v>
      </c>
    </row>
    <row r="68" spans="2:9" x14ac:dyDescent="0.25">
      <c r="B68" s="37">
        <f t="shared" si="3"/>
        <v>17</v>
      </c>
      <c r="C68" s="7" t="s">
        <v>275</v>
      </c>
      <c r="D68" s="42">
        <v>9.5</v>
      </c>
      <c r="E68" s="37">
        <v>4</v>
      </c>
      <c r="F68" s="47">
        <v>35</v>
      </c>
      <c r="G68" s="128">
        <f t="shared" si="4"/>
        <v>140</v>
      </c>
      <c r="H68" s="37" t="s">
        <v>279</v>
      </c>
      <c r="I68" s="65">
        <f t="shared" si="5"/>
        <v>504</v>
      </c>
    </row>
    <row r="69" spans="2:9" x14ac:dyDescent="0.25">
      <c r="B69" s="37">
        <f t="shared" si="3"/>
        <v>18</v>
      </c>
      <c r="C69" s="7" t="s">
        <v>276</v>
      </c>
      <c r="D69" s="42">
        <v>4.5</v>
      </c>
      <c r="E69" s="37">
        <v>1</v>
      </c>
      <c r="F69" s="47">
        <v>35</v>
      </c>
      <c r="G69" s="128">
        <f t="shared" si="4"/>
        <v>35</v>
      </c>
      <c r="H69" s="37" t="s">
        <v>279</v>
      </c>
      <c r="I69" s="65">
        <f t="shared" si="5"/>
        <v>126</v>
      </c>
    </row>
    <row r="70" spans="2:9" x14ac:dyDescent="0.25">
      <c r="B70" s="37">
        <f t="shared" si="3"/>
        <v>19</v>
      </c>
      <c r="C70" s="7" t="s">
        <v>277</v>
      </c>
      <c r="D70" s="42">
        <v>15.2</v>
      </c>
      <c r="E70" s="37">
        <v>4</v>
      </c>
      <c r="F70" s="47">
        <v>35</v>
      </c>
      <c r="G70" s="128">
        <f t="shared" si="4"/>
        <v>140</v>
      </c>
      <c r="H70" s="37" t="s">
        <v>279</v>
      </c>
      <c r="I70" s="65">
        <f t="shared" si="5"/>
        <v>504</v>
      </c>
    </row>
    <row r="71" spans="2:9" x14ac:dyDescent="0.25">
      <c r="B71" s="37">
        <f t="shared" si="3"/>
        <v>20</v>
      </c>
      <c r="C71" s="7" t="s">
        <v>291</v>
      </c>
      <c r="D71" s="42">
        <v>12</v>
      </c>
      <c r="E71" s="37">
        <v>1</v>
      </c>
      <c r="F71" s="47">
        <v>35</v>
      </c>
      <c r="G71" s="128">
        <f t="shared" si="4"/>
        <v>35</v>
      </c>
      <c r="H71" s="37" t="s">
        <v>279</v>
      </c>
      <c r="I71" s="65">
        <f t="shared" si="5"/>
        <v>126</v>
      </c>
    </row>
    <row r="72" spans="2:9" x14ac:dyDescent="0.25">
      <c r="B72" s="37">
        <f t="shared" si="3"/>
        <v>21</v>
      </c>
      <c r="C72" s="7" t="s">
        <v>292</v>
      </c>
      <c r="D72" s="42">
        <v>12</v>
      </c>
      <c r="E72" s="37">
        <v>1</v>
      </c>
      <c r="F72" s="47">
        <v>35</v>
      </c>
      <c r="G72" s="128">
        <f t="shared" si="4"/>
        <v>35</v>
      </c>
      <c r="H72" s="37" t="s">
        <v>279</v>
      </c>
      <c r="I72" s="65">
        <f t="shared" si="5"/>
        <v>126</v>
      </c>
    </row>
    <row r="73" spans="2:9" x14ac:dyDescent="0.25">
      <c r="B73" s="37">
        <f t="shared" si="3"/>
        <v>22</v>
      </c>
      <c r="C73" s="7" t="s">
        <v>293</v>
      </c>
      <c r="D73" s="42">
        <v>12</v>
      </c>
      <c r="E73" s="37">
        <v>1</v>
      </c>
      <c r="F73" s="47">
        <v>35</v>
      </c>
      <c r="G73" s="128">
        <f t="shared" si="4"/>
        <v>35</v>
      </c>
      <c r="H73" s="37" t="s">
        <v>279</v>
      </c>
      <c r="I73" s="65">
        <f t="shared" si="5"/>
        <v>126</v>
      </c>
    </row>
    <row r="74" spans="2:9" x14ac:dyDescent="0.25">
      <c r="B74" s="37">
        <f t="shared" si="3"/>
        <v>23</v>
      </c>
      <c r="C74" s="7" t="s">
        <v>294</v>
      </c>
      <c r="D74" s="42">
        <v>12</v>
      </c>
      <c r="E74" s="37">
        <v>1</v>
      </c>
      <c r="F74" s="47">
        <v>35</v>
      </c>
      <c r="G74" s="128">
        <f t="shared" si="4"/>
        <v>35</v>
      </c>
      <c r="H74" s="37" t="s">
        <v>279</v>
      </c>
      <c r="I74" s="65">
        <f t="shared" si="5"/>
        <v>126</v>
      </c>
    </row>
    <row r="75" spans="2:9" x14ac:dyDescent="0.25">
      <c r="B75" s="4">
        <v>24</v>
      </c>
      <c r="C75" s="4" t="s">
        <v>297</v>
      </c>
      <c r="D75" s="130">
        <v>15.27</v>
      </c>
      <c r="E75" s="37">
        <v>1</v>
      </c>
      <c r="F75" s="47">
        <v>35</v>
      </c>
      <c r="G75" s="128">
        <f t="shared" si="4"/>
        <v>35</v>
      </c>
      <c r="H75" s="37" t="s">
        <v>279</v>
      </c>
      <c r="I75" s="65">
        <f t="shared" si="5"/>
        <v>126</v>
      </c>
    </row>
    <row r="76" spans="2:9" x14ac:dyDescent="0.25">
      <c r="B76" s="4">
        <v>25</v>
      </c>
      <c r="C76" s="4" t="s">
        <v>298</v>
      </c>
      <c r="D76" s="130">
        <v>15.27</v>
      </c>
      <c r="E76" s="37">
        <v>1</v>
      </c>
      <c r="F76" s="47">
        <v>35</v>
      </c>
      <c r="G76" s="128">
        <f t="shared" si="4"/>
        <v>35</v>
      </c>
      <c r="H76" s="37" t="s">
        <v>279</v>
      </c>
      <c r="I76" s="65">
        <f t="shared" si="5"/>
        <v>126</v>
      </c>
    </row>
    <row r="77" spans="2:9" x14ac:dyDescent="0.25">
      <c r="B77" s="4">
        <v>25</v>
      </c>
      <c r="C77" s="7" t="s">
        <v>300</v>
      </c>
      <c r="D77" s="130">
        <v>29</v>
      </c>
      <c r="E77" s="130">
        <v>4</v>
      </c>
      <c r="F77" s="47">
        <v>35</v>
      </c>
      <c r="G77" s="130">
        <f t="shared" si="4"/>
        <v>140</v>
      </c>
      <c r="H77" s="37" t="s">
        <v>279</v>
      </c>
      <c r="I77" s="65">
        <f t="shared" si="5"/>
        <v>504</v>
      </c>
    </row>
    <row r="78" spans="2:9" x14ac:dyDescent="0.25">
      <c r="B78" s="4">
        <v>25</v>
      </c>
      <c r="C78" s="7" t="s">
        <v>301</v>
      </c>
      <c r="D78" s="130">
        <v>29</v>
      </c>
      <c r="E78" s="130">
        <v>4</v>
      </c>
      <c r="F78" s="47">
        <v>35</v>
      </c>
      <c r="G78" s="130">
        <f t="shared" si="4"/>
        <v>140</v>
      </c>
      <c r="H78" s="37" t="s">
        <v>279</v>
      </c>
      <c r="I78" s="65">
        <f t="shared" si="5"/>
        <v>504</v>
      </c>
    </row>
    <row r="80" spans="2:9" x14ac:dyDescent="0.25">
      <c r="B80" s="107" t="s">
        <v>36</v>
      </c>
      <c r="C80" s="5" t="s">
        <v>0</v>
      </c>
      <c r="D80" s="3" t="s">
        <v>11</v>
      </c>
      <c r="E80" s="107" t="s">
        <v>129</v>
      </c>
      <c r="F80" s="5" t="s">
        <v>12</v>
      </c>
      <c r="G80" s="107" t="s">
        <v>283</v>
      </c>
      <c r="H80" s="3" t="s">
        <v>282</v>
      </c>
      <c r="I80" s="3" t="s">
        <v>281</v>
      </c>
    </row>
    <row r="81" spans="2:10" x14ac:dyDescent="0.25">
      <c r="B81" s="37">
        <f>B70+1</f>
        <v>20</v>
      </c>
      <c r="C81" s="7" t="s">
        <v>257</v>
      </c>
      <c r="D81" s="107">
        <v>25.3</v>
      </c>
      <c r="E81" s="37">
        <v>0.9</v>
      </c>
      <c r="F81" s="36">
        <v>20</v>
      </c>
      <c r="G81" s="47">
        <v>5</v>
      </c>
      <c r="H81" s="47">
        <f>(D81*E81+F81*G81)/0.8</f>
        <v>153.46249999999998</v>
      </c>
      <c r="I81" s="37" t="s">
        <v>258</v>
      </c>
    </row>
    <row r="82" spans="2:10" x14ac:dyDescent="0.25">
      <c r="B82" s="37">
        <f>B81+1</f>
        <v>21</v>
      </c>
      <c r="C82" s="7" t="s">
        <v>256</v>
      </c>
      <c r="D82" s="107">
        <v>99.5</v>
      </c>
      <c r="E82" s="37">
        <v>0.5</v>
      </c>
      <c r="F82" s="36">
        <v>77</v>
      </c>
      <c r="G82" s="47">
        <v>2.7</v>
      </c>
      <c r="H82" s="47">
        <f>(D82*E82+F82*G82)/0.8</f>
        <v>322.06249999999994</v>
      </c>
      <c r="I82" s="37" t="s">
        <v>280</v>
      </c>
    </row>
    <row r="84" spans="2:10" x14ac:dyDescent="0.25">
      <c r="B84" s="130" t="s">
        <v>36</v>
      </c>
      <c r="C84" s="5" t="s">
        <v>0</v>
      </c>
      <c r="D84" s="3" t="s">
        <v>11</v>
      </c>
      <c r="E84" s="130" t="s">
        <v>129</v>
      </c>
      <c r="F84" s="5" t="s">
        <v>12</v>
      </c>
      <c r="G84" s="130" t="s">
        <v>283</v>
      </c>
      <c r="H84" s="3" t="s">
        <v>282</v>
      </c>
      <c r="I84" s="3" t="s">
        <v>281</v>
      </c>
    </row>
    <row r="85" spans="2:10" x14ac:dyDescent="0.25">
      <c r="B85" s="37">
        <f>B74+1</f>
        <v>24</v>
      </c>
      <c r="C85" s="7" t="s">
        <v>303</v>
      </c>
      <c r="D85" s="130">
        <v>142.96</v>
      </c>
      <c r="E85" s="37">
        <v>0.3</v>
      </c>
      <c r="F85" s="36"/>
      <c r="G85" s="47"/>
      <c r="H85" s="47">
        <f>(D85*E85+F85*G85)/0.8</f>
        <v>53.609999999999992</v>
      </c>
      <c r="I85" s="37" t="s">
        <v>323</v>
      </c>
    </row>
    <row r="86" spans="2:10" x14ac:dyDescent="0.25">
      <c r="B86" s="37">
        <f>B85+1</f>
        <v>25</v>
      </c>
      <c r="C86" s="7" t="s">
        <v>319</v>
      </c>
      <c r="D86" s="130">
        <v>117.5</v>
      </c>
      <c r="E86" s="37">
        <v>0.3</v>
      </c>
      <c r="F86" s="36"/>
      <c r="G86" s="47"/>
      <c r="H86" s="47">
        <f>(D86*E86+F86*G86)/0.8</f>
        <v>44.0625</v>
      </c>
      <c r="I86" s="37" t="s">
        <v>323</v>
      </c>
    </row>
    <row r="87" spans="2:10" x14ac:dyDescent="0.25">
      <c r="B87" s="37">
        <f t="shared" ref="B87:B90" si="6">B86+1</f>
        <v>26</v>
      </c>
      <c r="C87" s="4" t="s">
        <v>320</v>
      </c>
      <c r="D87" s="130">
        <v>88.73</v>
      </c>
      <c r="E87" s="37">
        <v>0.3</v>
      </c>
      <c r="F87" s="36"/>
      <c r="G87" s="47"/>
      <c r="H87" s="47">
        <f t="shared" ref="H87:H89" si="7">(D87*E87+F87*G87)/0.8</f>
        <v>33.27375</v>
      </c>
      <c r="I87" s="37" t="s">
        <v>323</v>
      </c>
    </row>
    <row r="88" spans="2:10" x14ac:dyDescent="0.25">
      <c r="B88" s="37">
        <f t="shared" si="6"/>
        <v>27</v>
      </c>
      <c r="C88" s="4" t="s">
        <v>321</v>
      </c>
      <c r="D88" s="130">
        <v>46.7</v>
      </c>
      <c r="E88" s="37">
        <v>0.3</v>
      </c>
      <c r="F88" s="36"/>
      <c r="G88" s="47"/>
      <c r="H88" s="47">
        <f t="shared" si="7"/>
        <v>17.512499999999999</v>
      </c>
      <c r="I88" s="37" t="s">
        <v>323</v>
      </c>
    </row>
    <row r="89" spans="2:10" x14ac:dyDescent="0.25">
      <c r="B89" s="37">
        <f t="shared" si="6"/>
        <v>28</v>
      </c>
      <c r="C89" s="4" t="s">
        <v>322</v>
      </c>
      <c r="D89" s="130">
        <f>2.45*61</f>
        <v>149.45000000000002</v>
      </c>
      <c r="E89" s="37">
        <v>0.3</v>
      </c>
      <c r="F89" s="36"/>
      <c r="G89" s="47"/>
      <c r="H89" s="47">
        <f t="shared" si="7"/>
        <v>56.043749999999996</v>
      </c>
      <c r="I89" s="37" t="s">
        <v>323</v>
      </c>
    </row>
    <row r="90" spans="2:10" x14ac:dyDescent="0.25">
      <c r="B90" s="37">
        <f t="shared" si="6"/>
        <v>29</v>
      </c>
      <c r="C90" s="4" t="s">
        <v>330</v>
      </c>
      <c r="D90" s="136">
        <f>54.6</f>
        <v>54.6</v>
      </c>
      <c r="E90" s="37">
        <v>0.3</v>
      </c>
      <c r="F90" s="36"/>
      <c r="G90" s="47"/>
      <c r="H90" s="47">
        <f t="shared" ref="H90" si="8">(D90*E90+F90*G90)/0.8</f>
        <v>20.474999999999998</v>
      </c>
      <c r="I90" s="37" t="s">
        <v>323</v>
      </c>
    </row>
    <row r="93" spans="2:10" x14ac:dyDescent="0.25">
      <c r="H93" s="1"/>
      <c r="J93"/>
    </row>
    <row r="94" spans="2:10" hidden="1" x14ac:dyDescent="0.25">
      <c r="C94" t="s">
        <v>403</v>
      </c>
      <c r="D94" s="1" t="s">
        <v>399</v>
      </c>
      <c r="E94" s="1" t="s">
        <v>400</v>
      </c>
      <c r="F94" s="1" t="s">
        <v>401</v>
      </c>
      <c r="G94" s="1" t="s">
        <v>402</v>
      </c>
      <c r="H94" s="1" t="s">
        <v>404</v>
      </c>
      <c r="J94"/>
    </row>
    <row r="95" spans="2:10" hidden="1" x14ac:dyDescent="0.25">
      <c r="B95" t="s">
        <v>134</v>
      </c>
      <c r="C95" s="151">
        <v>0</v>
      </c>
      <c r="D95" s="152">
        <v>4.3879999999999999</v>
      </c>
      <c r="E95" s="152">
        <v>1200</v>
      </c>
      <c r="F95" s="152">
        <v>4.18</v>
      </c>
      <c r="G95" s="152">
        <v>20</v>
      </c>
      <c r="H95" s="153">
        <f>D95/(E95*F95*G95)*1000</f>
        <v>4.3740031897926634E-2</v>
      </c>
      <c r="J95"/>
    </row>
    <row r="96" spans="2:10" hidden="1" x14ac:dyDescent="0.25">
      <c r="C96" s="151">
        <v>2.9260000000000002</v>
      </c>
      <c r="D96" s="152">
        <f>D95+C96</f>
        <v>7.3140000000000001</v>
      </c>
      <c r="E96" s="152">
        <v>1200</v>
      </c>
      <c r="F96" s="152">
        <v>4.18</v>
      </c>
      <c r="G96" s="152">
        <v>20</v>
      </c>
      <c r="H96" s="153">
        <f>D96/(E96*F96*G96)*1000</f>
        <v>7.2906698564593309E-2</v>
      </c>
      <c r="J96"/>
    </row>
    <row r="97" spans="3:10" hidden="1" x14ac:dyDescent="0.25">
      <c r="C97" s="151">
        <v>2.9260000000000002</v>
      </c>
      <c r="D97" s="152">
        <f t="shared" ref="D97" si="9">D96+C97</f>
        <v>10.24</v>
      </c>
      <c r="E97" s="152">
        <v>1200</v>
      </c>
      <c r="F97" s="152">
        <v>4.18</v>
      </c>
      <c r="G97" s="152">
        <v>20</v>
      </c>
      <c r="H97" s="153">
        <f>D97/(E97*F97*G97)*1000</f>
        <v>0.10207336523125997</v>
      </c>
      <c r="J97"/>
    </row>
    <row r="98" spans="3:10" hidden="1" x14ac:dyDescent="0.25">
      <c r="C98" s="151">
        <v>10.24</v>
      </c>
      <c r="D98" s="152">
        <f>D97+C98</f>
        <v>20.48</v>
      </c>
      <c r="E98" s="152">
        <v>1200</v>
      </c>
      <c r="F98" s="152">
        <v>4.18</v>
      </c>
      <c r="G98" s="152">
        <v>20</v>
      </c>
      <c r="H98" s="153">
        <f>D98/(E98*F98*G98)*1000</f>
        <v>0.20414673046251994</v>
      </c>
    </row>
    <row r="99" spans="3:10" hidden="1" x14ac:dyDescent="0.25">
      <c r="C99" s="151">
        <f>10.24+1.2</f>
        <v>11.44</v>
      </c>
      <c r="D99" s="152">
        <f>C99+D98</f>
        <v>31.92</v>
      </c>
      <c r="E99" s="152">
        <v>1200</v>
      </c>
      <c r="F99" s="152">
        <v>4.18</v>
      </c>
      <c r="G99" s="152">
        <v>20</v>
      </c>
      <c r="H99" s="153">
        <f t="shared" ref="H99" si="10">D99/(E99*F99*G99)*1000</f>
        <v>0.31818181818181818</v>
      </c>
    </row>
    <row r="100" spans="3:10" hidden="1" x14ac:dyDescent="0.25">
      <c r="C100" s="151">
        <v>10.24</v>
      </c>
      <c r="D100" s="152">
        <f>D99+C100</f>
        <v>42.160000000000004</v>
      </c>
      <c r="E100" s="152">
        <v>1200</v>
      </c>
      <c r="F100" s="152">
        <v>4.18</v>
      </c>
      <c r="G100" s="152">
        <v>20</v>
      </c>
      <c r="H100" s="153">
        <f>D100/(E100*F100*G100)*1000</f>
        <v>0.42025518341307821</v>
      </c>
    </row>
    <row r="101" spans="3:10" hidden="1" x14ac:dyDescent="0.25">
      <c r="C101" s="151">
        <v>10.24</v>
      </c>
      <c r="D101" s="152">
        <f>D100+C101</f>
        <v>52.400000000000006</v>
      </c>
      <c r="E101" s="152">
        <v>1200</v>
      </c>
      <c r="F101" s="152">
        <v>4.18</v>
      </c>
      <c r="G101" s="152">
        <v>20</v>
      </c>
      <c r="H101" s="153">
        <f>D101/(E101*F101*G101)*1000</f>
        <v>0.5223285486443382</v>
      </c>
      <c r="J101" s="1">
        <f>2*1169</f>
        <v>2338</v>
      </c>
    </row>
    <row r="102" spans="3:10" hidden="1" x14ac:dyDescent="0.25">
      <c r="C102" s="6">
        <v>0</v>
      </c>
      <c r="D102" s="1"/>
      <c r="E102" s="1">
        <v>1200</v>
      </c>
      <c r="F102" s="1">
        <v>4.18</v>
      </c>
      <c r="G102" s="1">
        <v>20</v>
      </c>
      <c r="H102" s="153">
        <f t="shared" ref="H102:H111" si="11">D102/(E102*F102*G102)*1000</f>
        <v>0</v>
      </c>
      <c r="I102" s="142">
        <f>H102*2+H103</f>
        <v>0</v>
      </c>
      <c r="J102" s="1">
        <v>9668</v>
      </c>
    </row>
    <row r="103" spans="3:10" hidden="1" x14ac:dyDescent="0.25">
      <c r="C103" s="151">
        <v>10.24</v>
      </c>
      <c r="D103" s="1"/>
      <c r="E103" s="1">
        <v>1200</v>
      </c>
      <c r="F103" s="1">
        <v>4.18</v>
      </c>
      <c r="G103" s="1">
        <v>20</v>
      </c>
      <c r="H103" s="153">
        <f t="shared" si="11"/>
        <v>0</v>
      </c>
      <c r="J103" s="1">
        <f>3516*2</f>
        <v>7032</v>
      </c>
    </row>
    <row r="104" spans="3:10" hidden="1" x14ac:dyDescent="0.25">
      <c r="C104" s="151">
        <v>1.17</v>
      </c>
      <c r="D104" s="1"/>
      <c r="E104" s="1">
        <v>1200</v>
      </c>
      <c r="F104" s="1">
        <v>4.18</v>
      </c>
      <c r="G104" s="1">
        <v>20</v>
      </c>
      <c r="H104" s="153">
        <f t="shared" si="11"/>
        <v>0</v>
      </c>
      <c r="J104" s="1">
        <f>4388*2</f>
        <v>8776</v>
      </c>
    </row>
    <row r="105" spans="3:10" hidden="1" x14ac:dyDescent="0.25">
      <c r="C105" s="151">
        <v>1.17</v>
      </c>
      <c r="D105" s="1"/>
      <c r="E105" s="1">
        <v>1200</v>
      </c>
      <c r="F105" s="1">
        <v>4.18</v>
      </c>
      <c r="G105" s="1">
        <v>20</v>
      </c>
      <c r="H105" s="153">
        <f t="shared" si="11"/>
        <v>0</v>
      </c>
      <c r="J105" s="1">
        <f>1169*2</f>
        <v>2338</v>
      </c>
    </row>
    <row r="106" spans="3:10" hidden="1" x14ac:dyDescent="0.25">
      <c r="C106" s="151">
        <v>10.24</v>
      </c>
      <c r="D106" s="1"/>
      <c r="E106" s="1">
        <v>1200</v>
      </c>
      <c r="F106" s="1">
        <v>4.18</v>
      </c>
      <c r="G106" s="1">
        <v>20</v>
      </c>
      <c r="H106" s="153">
        <f t="shared" si="11"/>
        <v>0</v>
      </c>
      <c r="J106" s="1">
        <f>1280*2</f>
        <v>2560</v>
      </c>
    </row>
    <row r="107" spans="3:10" hidden="1" x14ac:dyDescent="0.25">
      <c r="C107" s="151">
        <v>37.020000000000003</v>
      </c>
      <c r="D107" s="1"/>
      <c r="E107" s="1">
        <v>1200</v>
      </c>
      <c r="F107" s="1">
        <v>4.18</v>
      </c>
      <c r="G107" s="1">
        <v>20</v>
      </c>
      <c r="H107" s="153">
        <f t="shared" si="11"/>
        <v>0</v>
      </c>
      <c r="J107" s="1">
        <v>2194</v>
      </c>
    </row>
    <row r="108" spans="3:10" hidden="1" x14ac:dyDescent="0.25">
      <c r="D108" s="1"/>
      <c r="E108" s="1">
        <v>1200</v>
      </c>
      <c r="F108" s="1">
        <v>4.18</v>
      </c>
      <c r="G108" s="1">
        <v>20</v>
      </c>
      <c r="H108" s="153">
        <f t="shared" si="11"/>
        <v>0</v>
      </c>
      <c r="J108" s="1">
        <v>4835</v>
      </c>
    </row>
    <row r="109" spans="3:10" hidden="1" x14ac:dyDescent="0.25">
      <c r="D109" s="1">
        <v>22.9</v>
      </c>
      <c r="E109" s="1">
        <v>1200</v>
      </c>
      <c r="F109" s="1">
        <v>4.18</v>
      </c>
      <c r="G109" s="1">
        <v>20</v>
      </c>
      <c r="H109" s="153">
        <f t="shared" si="11"/>
        <v>0.22826953748006379</v>
      </c>
      <c r="J109" s="1">
        <f>1169*3</f>
        <v>3507</v>
      </c>
    </row>
    <row r="110" spans="3:10" hidden="1" x14ac:dyDescent="0.25">
      <c r="D110" s="1"/>
      <c r="E110" s="1">
        <v>1200</v>
      </c>
      <c r="F110" s="1">
        <v>4.18</v>
      </c>
      <c r="G110" s="1">
        <v>20</v>
      </c>
      <c r="H110" s="153">
        <f t="shared" si="11"/>
        <v>0</v>
      </c>
      <c r="J110" s="1">
        <v>4095</v>
      </c>
    </row>
    <row r="111" spans="3:10" hidden="1" x14ac:dyDescent="0.25">
      <c r="D111" s="1">
        <v>300</v>
      </c>
      <c r="E111" s="1">
        <v>1200</v>
      </c>
      <c r="F111" s="1">
        <v>4.18</v>
      </c>
      <c r="G111" s="1">
        <v>20</v>
      </c>
      <c r="H111" s="153">
        <f t="shared" si="11"/>
        <v>2.9904306220095696</v>
      </c>
      <c r="J111" s="1">
        <v>3803</v>
      </c>
    </row>
    <row r="112" spans="3:10" hidden="1" x14ac:dyDescent="0.25">
      <c r="J112" s="1">
        <v>4395</v>
      </c>
    </row>
    <row r="113" spans="6:10" hidden="1" x14ac:dyDescent="0.25">
      <c r="J113" s="1">
        <v>3219</v>
      </c>
    </row>
    <row r="114" spans="6:10" hidden="1" x14ac:dyDescent="0.25">
      <c r="H114">
        <v>3.38</v>
      </c>
      <c r="J114" s="1">
        <f>SUM(J101:J113)/1000</f>
        <v>58.76</v>
      </c>
    </row>
    <row r="115" spans="6:10" hidden="1" x14ac:dyDescent="0.25"/>
    <row r="116" spans="6:10" hidden="1" x14ac:dyDescent="0.25"/>
    <row r="117" spans="6:10" hidden="1" x14ac:dyDescent="0.25"/>
    <row r="118" spans="6:10" hidden="1" x14ac:dyDescent="0.25"/>
    <row r="119" spans="6:10" hidden="1" x14ac:dyDescent="0.25"/>
    <row r="120" spans="6:10" hidden="1" x14ac:dyDescent="0.25">
      <c r="F120">
        <f>3490*700</f>
        <v>2443000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F21" sqref="F21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75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1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1" t="s">
        <v>43</v>
      </c>
      <c r="C6" s="8">
        <f>3*(3.92-1.78)</f>
        <v>6.419999999999999</v>
      </c>
      <c r="D6" s="132">
        <v>0.36</v>
      </c>
      <c r="E6" s="13">
        <f>'INFORMACION INICIAL'!C4</f>
        <v>10</v>
      </c>
      <c r="F6" s="43">
        <f>'INFORMACION INICIAL'!C6</f>
        <v>21</v>
      </c>
      <c r="G6" s="8">
        <f t="shared" ref="G6:G12" si="0">C6*D6*(F6-E6)</f>
        <v>25.423199999999994</v>
      </c>
    </row>
    <row r="7" spans="2:7" x14ac:dyDescent="0.25">
      <c r="B7" s="31" t="s">
        <v>44</v>
      </c>
      <c r="C7" s="8">
        <f>3.95*3-1.5*2</f>
        <v>8.8500000000000014</v>
      </c>
      <c r="D7" s="132">
        <v>0.36</v>
      </c>
      <c r="E7" s="13">
        <f>'INFORMACION INICIAL'!C3</f>
        <v>-1.8</v>
      </c>
      <c r="F7" s="43">
        <f>'INFORMACION INICIAL'!C6</f>
        <v>21</v>
      </c>
      <c r="G7" s="8">
        <f t="shared" si="0"/>
        <v>72.640800000000013</v>
      </c>
    </row>
    <row r="8" spans="2:7" x14ac:dyDescent="0.25">
      <c r="B8" s="31" t="s">
        <v>45</v>
      </c>
      <c r="C8" s="8">
        <f>C9</f>
        <v>13.14</v>
      </c>
      <c r="D8" s="132">
        <v>0.36</v>
      </c>
      <c r="E8" s="13">
        <f>'INFORMACION INICIAL'!C4</f>
        <v>10</v>
      </c>
      <c r="F8" s="43">
        <f>'INFORMACION INICIAL'!C6</f>
        <v>21</v>
      </c>
      <c r="G8" s="8">
        <f t="shared" si="0"/>
        <v>52.034400000000005</v>
      </c>
    </row>
    <row r="9" spans="2:7" x14ac:dyDescent="0.25">
      <c r="B9" s="31" t="s">
        <v>46</v>
      </c>
      <c r="C9" s="8">
        <f>4.38*3</f>
        <v>13.14</v>
      </c>
      <c r="D9" s="132">
        <v>0.36</v>
      </c>
      <c r="E9" s="13">
        <f>'INFORMACION INICIAL'!C4</f>
        <v>10</v>
      </c>
      <c r="F9" s="43">
        <f>'INFORMACION INICIAL'!C6</f>
        <v>21</v>
      </c>
      <c r="G9" s="8">
        <f t="shared" si="0"/>
        <v>52.034400000000005</v>
      </c>
    </row>
    <row r="10" spans="2:7" x14ac:dyDescent="0.25">
      <c r="B10" s="31" t="s">
        <v>49</v>
      </c>
      <c r="C10" s="8">
        <f>2*(1.78+1.5)</f>
        <v>6.5600000000000005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269.22240000000005</v>
      </c>
    </row>
    <row r="11" spans="2:7" x14ac:dyDescent="0.25">
      <c r="B11" s="31" t="s">
        <v>47</v>
      </c>
      <c r="C11" s="8">
        <f>C12</f>
        <v>15.851900000000001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75.898897199999993</v>
      </c>
    </row>
    <row r="12" spans="2:7" x14ac:dyDescent="0.25">
      <c r="B12" s="31" t="s">
        <v>48</v>
      </c>
      <c r="C12" s="8">
        <f>'VENTILACION SUPER-PERS'!D35</f>
        <v>15.851900000000001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236.35182900000001</v>
      </c>
    </row>
    <row r="13" spans="2:7" x14ac:dyDescent="0.25">
      <c r="B13" s="4"/>
      <c r="C13" s="4"/>
      <c r="D13" s="4"/>
      <c r="E13" s="4"/>
      <c r="F13" s="21" t="s">
        <v>59</v>
      </c>
      <c r="G13" s="8">
        <f>SUM(G6:G12)</f>
        <v>783.60592620000011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10">
        <f>'INFORMACION INICIAL'!C10</f>
        <v>0.5</v>
      </c>
      <c r="C16" s="15">
        <f>C12*3</f>
        <v>47.555700000000002</v>
      </c>
      <c r="D16" s="13">
        <f>'INFORMACION INICIAL'!C3</f>
        <v>-1.8</v>
      </c>
      <c r="E16" s="10">
        <f>'INFORMACION INICIAL'!C6</f>
        <v>21</v>
      </c>
      <c r="F16" s="15">
        <f>B16*C16*(E16-D16)*'INFORMACION INICIAL'!C7*'INFORMACION INICIAL'!C8/3.6</f>
        <v>193.2095944654927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SUPER-PERS'!H35*3.6</f>
        <v>55.150064999999998</v>
      </c>
      <c r="C20" s="13">
        <f>'INFORMACION INICIAL'!C3</f>
        <v>-1.8</v>
      </c>
      <c r="D20" s="10">
        <f>'INFORMACION INICIAL'!C6</f>
        <v>21</v>
      </c>
      <c r="E20" s="8">
        <f>B20*(D20-C20)*'INFORMACION INICIAL'!C7*'INFORMACION INICIAL'!C8/3.6</f>
        <v>448.12805587534461</v>
      </c>
    </row>
  </sheetData>
  <mergeCells count="1">
    <mergeCell ref="B2:G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topLeftCell="A4" workbookViewId="0">
      <selection activeCell="F16" sqref="F16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76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21">
        <f>4.2*3-1.93*2</f>
        <v>8.740000000000002</v>
      </c>
      <c r="D6" s="132">
        <v>0.36</v>
      </c>
      <c r="E6" s="13">
        <f>'INFORMACION INICIAL'!C4</f>
        <v>10</v>
      </c>
      <c r="F6" s="43">
        <f>'INFORMACION INICIAL'!C6</f>
        <v>21</v>
      </c>
      <c r="G6" s="8">
        <f t="shared" ref="G6:G12" si="0">C6*D6*(F6-E6)</f>
        <v>34.610400000000006</v>
      </c>
    </row>
    <row r="7" spans="2:7" x14ac:dyDescent="0.25">
      <c r="B7" s="32" t="s">
        <v>44</v>
      </c>
      <c r="C7" s="21">
        <f>4.2*3-2*1.5</f>
        <v>9.6000000000000014</v>
      </c>
      <c r="D7" s="132">
        <v>0.36</v>
      </c>
      <c r="E7" s="13">
        <f>'INFORMACION INICIAL'!C3</f>
        <v>-1.8</v>
      </c>
      <c r="F7" s="43">
        <f>'INFORMACION INICIAL'!C6</f>
        <v>21</v>
      </c>
      <c r="G7" s="8">
        <f t="shared" si="0"/>
        <v>78.796800000000005</v>
      </c>
    </row>
    <row r="8" spans="2:7" x14ac:dyDescent="0.25">
      <c r="B8" s="32" t="s">
        <v>45</v>
      </c>
      <c r="C8" s="21">
        <f>4.13*3</f>
        <v>12.39</v>
      </c>
      <c r="D8" s="132">
        <v>0.36</v>
      </c>
      <c r="E8" s="13">
        <f>'INFORMACION INICIAL'!C4</f>
        <v>10</v>
      </c>
      <c r="F8" s="43">
        <f>'INFORMACION INICIAL'!C6</f>
        <v>21</v>
      </c>
      <c r="G8" s="8">
        <f t="shared" si="0"/>
        <v>49.064399999999999</v>
      </c>
    </row>
    <row r="9" spans="2:7" x14ac:dyDescent="0.25">
      <c r="B9" s="32" t="s">
        <v>46</v>
      </c>
      <c r="C9" s="21">
        <f>4.13*3</f>
        <v>12.39</v>
      </c>
      <c r="D9" s="132">
        <v>0.36</v>
      </c>
      <c r="E9" s="13">
        <f>'INFORMACION INICIAL'!C4</f>
        <v>10</v>
      </c>
      <c r="F9" s="43">
        <f>'INFORMACION INICIAL'!C6</f>
        <v>21</v>
      </c>
      <c r="G9" s="8">
        <f t="shared" si="0"/>
        <v>49.064399999999999</v>
      </c>
    </row>
    <row r="10" spans="2:7" x14ac:dyDescent="0.25">
      <c r="B10" s="32" t="s">
        <v>49</v>
      </c>
      <c r="C10" s="21">
        <f>2*(1.5+1.93)</f>
        <v>6.8599999999999994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281.53440000000001</v>
      </c>
    </row>
    <row r="11" spans="2:7" x14ac:dyDescent="0.25">
      <c r="B11" s="32" t="s">
        <v>47</v>
      </c>
      <c r="C11" s="8">
        <f>C12</f>
        <v>14.6563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70.174364400000002</v>
      </c>
    </row>
    <row r="12" spans="2:7" x14ac:dyDescent="0.25">
      <c r="B12" s="32" t="s">
        <v>48</v>
      </c>
      <c r="C12" s="8">
        <f>'VENTILACION SUPER-PERS'!D36</f>
        <v>14.6563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218.52543299999999</v>
      </c>
    </row>
    <row r="13" spans="2:7" x14ac:dyDescent="0.25">
      <c r="B13" s="4"/>
      <c r="C13" s="4"/>
      <c r="D13" s="4"/>
      <c r="E13" s="4"/>
      <c r="F13" s="21" t="s">
        <v>59</v>
      </c>
      <c r="G13" s="8">
        <f>SUM(G6:G12)</f>
        <v>781.77019740000014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10">
        <f>'INFORMACION INICIAL'!C10</f>
        <v>0.5</v>
      </c>
      <c r="C16" s="15">
        <f>C12*3</f>
        <v>43.968899999999998</v>
      </c>
      <c r="D16" s="13">
        <f>'INFORMACION INICIAL'!C3</f>
        <v>-1.8</v>
      </c>
      <c r="E16" s="10">
        <f>'INFORMACION INICIAL'!C6</f>
        <v>21</v>
      </c>
      <c r="F16" s="15">
        <f>B16*C16*(E16-D16)*'INFORMACION INICIAL'!C7*'INFORMACION INICIAL'!C8/3.6</f>
        <v>178.63712106211875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SUPER-PERS'!H36*3.6</f>
        <v>98.536005000000003</v>
      </c>
      <c r="C20" s="13">
        <f>'INFORMACION INICIAL'!C3</f>
        <v>-1.8</v>
      </c>
      <c r="D20" s="10">
        <f>'INFORMACION INICIAL'!C6</f>
        <v>21</v>
      </c>
      <c r="E20" s="8">
        <f>B20*(D20-C20)*'INFORMACION INICIAL'!C7*'INFORMACION INICIAL'!C8/3.6</f>
        <v>800.66539095417636</v>
      </c>
    </row>
  </sheetData>
  <mergeCells count="1">
    <mergeCell ref="B2:G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4"/>
  <sheetViews>
    <sheetView topLeftCell="A10" workbookViewId="0">
      <selection activeCell="E14" sqref="E14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77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21">
        <f>3.2*3-1.9*2</f>
        <v>5.8000000000000016</v>
      </c>
      <c r="D6" s="132">
        <v>0.36</v>
      </c>
      <c r="E6" s="13">
        <f>'INFORMACION INICIAL'!C4</f>
        <v>10</v>
      </c>
      <c r="F6" s="43">
        <f>'INFORMACION INICIAL'!C6</f>
        <v>21</v>
      </c>
      <c r="G6" s="8">
        <f t="shared" ref="G6:G12" si="0">C6*D6*(F6-E6)</f>
        <v>22.968000000000007</v>
      </c>
    </row>
    <row r="7" spans="2:7" x14ac:dyDescent="0.25">
      <c r="B7" s="32" t="s">
        <v>44</v>
      </c>
      <c r="C7" s="21">
        <f>3.2*3-2*1.5</f>
        <v>6.6000000000000014</v>
      </c>
      <c r="D7" s="132">
        <v>0.36</v>
      </c>
      <c r="E7" s="13">
        <f>'INFORMACION INICIAL'!C3</f>
        <v>-1.8</v>
      </c>
      <c r="F7" s="43">
        <f>'INFORMACION INICIAL'!C6</f>
        <v>21</v>
      </c>
      <c r="G7" s="8">
        <f t="shared" si="0"/>
        <v>54.172800000000009</v>
      </c>
    </row>
    <row r="8" spans="2:7" x14ac:dyDescent="0.25">
      <c r="B8" s="32" t="s">
        <v>45</v>
      </c>
      <c r="C8" s="21">
        <f>4.38*3</f>
        <v>13.14</v>
      </c>
      <c r="D8" s="132">
        <v>0.36</v>
      </c>
      <c r="E8" s="13">
        <f>'INFORMACION INICIAL'!C4</f>
        <v>10</v>
      </c>
      <c r="F8" s="43">
        <f>'INFORMACION INICIAL'!C6</f>
        <v>21</v>
      </c>
      <c r="G8" s="8">
        <f t="shared" si="0"/>
        <v>52.034400000000005</v>
      </c>
    </row>
    <row r="9" spans="2:7" x14ac:dyDescent="0.25">
      <c r="B9" s="32" t="s">
        <v>46</v>
      </c>
      <c r="C9" s="21">
        <f>4.38*3</f>
        <v>13.14</v>
      </c>
      <c r="D9" s="132">
        <v>0.36</v>
      </c>
      <c r="E9" s="13">
        <f>'INFORMACION INICIAL'!C4</f>
        <v>10</v>
      </c>
      <c r="F9" s="43">
        <f>'INFORMACION INICIAL'!C6</f>
        <v>21</v>
      </c>
      <c r="G9" s="8">
        <f t="shared" si="0"/>
        <v>52.034400000000005</v>
      </c>
    </row>
    <row r="10" spans="2:7" x14ac:dyDescent="0.25">
      <c r="B10" s="32" t="s">
        <v>49</v>
      </c>
      <c r="C10" s="21">
        <f>2*(1.9+1.5)</f>
        <v>6.8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279.072</v>
      </c>
    </row>
    <row r="11" spans="2:7" x14ac:dyDescent="0.25">
      <c r="B11" s="32" t="s">
        <v>47</v>
      </c>
      <c r="C11" s="21">
        <f>C12</f>
        <v>12.074999999999999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57.815099999999994</v>
      </c>
    </row>
    <row r="12" spans="2:7" x14ac:dyDescent="0.25">
      <c r="B12" s="32" t="s">
        <v>48</v>
      </c>
      <c r="C12" s="21">
        <f>'VENTILACION SUPER-PERS'!D38</f>
        <v>12.074999999999999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180.03825000000001</v>
      </c>
    </row>
    <row r="13" spans="2:7" x14ac:dyDescent="0.25">
      <c r="B13" s="4"/>
      <c r="C13" s="4"/>
      <c r="D13" s="4"/>
      <c r="E13" s="4"/>
      <c r="F13" s="21" t="s">
        <v>59</v>
      </c>
      <c r="G13" s="8">
        <f>SUM(G6:G12)</f>
        <v>698.13495000000012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10">
        <f>'INFORMACION INICIAL'!C10</f>
        <v>0.5</v>
      </c>
      <c r="C16" s="15">
        <f>C12*3</f>
        <v>36.224999999999994</v>
      </c>
      <c r="D16" s="13">
        <f>'INFORMACION INICIAL'!C3</f>
        <v>-1.8</v>
      </c>
      <c r="E16" s="10">
        <f>'INFORMACION INICIAL'!C6</f>
        <v>21</v>
      </c>
      <c r="F16" s="15">
        <f>B16*C16*(E16-D16)*'INFORMACION INICIAL'!C7*'INFORMACION INICIAL'!C8/3.6</f>
        <v>147.17515585960197</v>
      </c>
    </row>
    <row r="18" spans="2:5" x14ac:dyDescent="0.25">
      <c r="B18" t="s">
        <v>111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SUPER-PERS'!H37*3.6</f>
        <v>27.55125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223.87078055910882</v>
      </c>
    </row>
    <row r="22" spans="2:5" x14ac:dyDescent="0.25">
      <c r="B22" t="s">
        <v>112</v>
      </c>
    </row>
    <row r="23" spans="2:5" x14ac:dyDescent="0.25">
      <c r="B23" s="43" t="s">
        <v>107</v>
      </c>
      <c r="C23" s="21" t="s">
        <v>105</v>
      </c>
      <c r="D23" s="21" t="s">
        <v>104</v>
      </c>
      <c r="E23" s="21" t="s">
        <v>103</v>
      </c>
    </row>
    <row r="24" spans="2:5" x14ac:dyDescent="0.25">
      <c r="B24" s="8">
        <f>'VENTILACION SUPER-PERS'!H38*3.6</f>
        <v>128.80124999999998</v>
      </c>
      <c r="C24" s="13">
        <f>'INFORMACION INICIAL'!C3</f>
        <v>-1.8</v>
      </c>
      <c r="D24" s="43">
        <f>'INFORMACION INICIAL'!C6</f>
        <v>21</v>
      </c>
      <c r="E24" s="8">
        <f>B24*(D24-C24)*'INFORMACION INICIAL'!C7*'INFORMACION INICIAL'!C8/3.6</f>
        <v>1046.5890431283124</v>
      </c>
    </row>
  </sheetData>
  <mergeCells count="1">
    <mergeCell ref="B2:G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F16" sqref="F16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78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46" t="s">
        <v>40</v>
      </c>
      <c r="C5" s="14" t="s">
        <v>102</v>
      </c>
      <c r="D5" s="14" t="s">
        <v>106</v>
      </c>
      <c r="E5" s="14" t="s">
        <v>105</v>
      </c>
      <c r="F5" s="14" t="s">
        <v>104</v>
      </c>
      <c r="G5" s="14" t="s">
        <v>103</v>
      </c>
    </row>
    <row r="6" spans="2:7" x14ac:dyDescent="0.25">
      <c r="B6" s="31" t="s">
        <v>43</v>
      </c>
      <c r="C6" s="8">
        <f>3.33*3</f>
        <v>9.99</v>
      </c>
      <c r="D6" s="132">
        <v>0.36</v>
      </c>
      <c r="E6" s="13">
        <f>'INFORMACION INICIAL'!C4</f>
        <v>10</v>
      </c>
      <c r="F6" s="43">
        <f>'INFORMACION INICIAL'!C6</f>
        <v>21</v>
      </c>
      <c r="G6" s="13">
        <f t="shared" ref="G6:G12" si="0">C6*D6*(F6-E6)</f>
        <v>39.560400000000001</v>
      </c>
    </row>
    <row r="7" spans="2:7" x14ac:dyDescent="0.25">
      <c r="B7" s="31" t="s">
        <v>44</v>
      </c>
      <c r="C7" s="8">
        <f>3.3*3-1.5*2</f>
        <v>6.8999999999999986</v>
      </c>
      <c r="D7" s="132">
        <v>0.36</v>
      </c>
      <c r="E7" s="13">
        <f>'INFORMACION INICIAL'!C4</f>
        <v>10</v>
      </c>
      <c r="F7" s="43">
        <f>'INFORMACION INICIAL'!C6</f>
        <v>21</v>
      </c>
      <c r="G7" s="13">
        <f t="shared" si="0"/>
        <v>27.323999999999995</v>
      </c>
    </row>
    <row r="8" spans="2:7" x14ac:dyDescent="0.25">
      <c r="B8" s="31" t="s">
        <v>45</v>
      </c>
      <c r="C8" s="8">
        <f>4.38*3</f>
        <v>13.14</v>
      </c>
      <c r="D8" s="132">
        <v>0.36</v>
      </c>
      <c r="E8" s="13">
        <f>'INFORMACION INICIAL'!C3</f>
        <v>-1.8</v>
      </c>
      <c r="F8" s="43">
        <f>'INFORMACION INICIAL'!C6</f>
        <v>21</v>
      </c>
      <c r="G8" s="13">
        <f t="shared" si="0"/>
        <v>107.85312000000002</v>
      </c>
    </row>
    <row r="9" spans="2:7" x14ac:dyDescent="0.25">
      <c r="B9" s="31" t="s">
        <v>46</v>
      </c>
      <c r="C9" s="8">
        <f>4.38*3</f>
        <v>13.14</v>
      </c>
      <c r="D9" s="132">
        <v>0.36</v>
      </c>
      <c r="E9" s="13">
        <f>'INFORMACION INICIAL'!C4</f>
        <v>10</v>
      </c>
      <c r="F9" s="43">
        <f>'INFORMACION INICIAL'!C6</f>
        <v>21</v>
      </c>
      <c r="G9" s="13">
        <f t="shared" si="0"/>
        <v>52.034400000000005</v>
      </c>
    </row>
    <row r="10" spans="2:7" x14ac:dyDescent="0.25">
      <c r="B10" s="31" t="s">
        <v>49</v>
      </c>
      <c r="C10" s="8">
        <f>1.5*2</f>
        <v>3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13">
        <f t="shared" si="0"/>
        <v>123.12000000000002</v>
      </c>
    </row>
    <row r="11" spans="2:7" x14ac:dyDescent="0.25">
      <c r="B11" s="31" t="s">
        <v>47</v>
      </c>
      <c r="C11" s="8">
        <f>C12</f>
        <v>11.974399999999999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13">
        <f t="shared" si="0"/>
        <v>57.333427200000003</v>
      </c>
    </row>
    <row r="12" spans="2:7" x14ac:dyDescent="0.25">
      <c r="B12" s="31" t="s">
        <v>48</v>
      </c>
      <c r="C12" s="8">
        <f>'VENTILACION SUPER-PERS'!D39</f>
        <v>11.974399999999999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13">
        <f t="shared" si="0"/>
        <v>178.53830399999998</v>
      </c>
    </row>
    <row r="13" spans="2:7" x14ac:dyDescent="0.25">
      <c r="B13" s="4"/>
      <c r="C13" s="4"/>
      <c r="D13" s="4"/>
      <c r="E13" s="4"/>
      <c r="F13" s="21" t="s">
        <v>59</v>
      </c>
      <c r="G13" s="13">
        <f>SUM(G6:G12)</f>
        <v>585.76365120000003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10">
        <f>'INFORMACION INICIAL'!C10</f>
        <v>0.5</v>
      </c>
      <c r="C16" s="15">
        <f>C12*3</f>
        <v>35.923199999999994</v>
      </c>
      <c r="D16" s="13">
        <f>'INFORMACION INICIAL'!C3</f>
        <v>-1.8</v>
      </c>
      <c r="E16" s="10">
        <f>'INFORMACION INICIAL'!C6</f>
        <v>21</v>
      </c>
      <c r="F16" s="15">
        <f>B16*C16*(E16-D16)*'INFORMACION INICIAL'!C7*'INFORMACION INICIAL'!C8/3.6</f>
        <v>145.94900093790619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21">
        <f>'VENTILACION SUPER-PERS'!H39*3.6</f>
        <v>70.996319999999983</v>
      </c>
      <c r="C20" s="12">
        <f>'INFORMACION INICIAL'!C3</f>
        <v>-1.8</v>
      </c>
      <c r="D20" s="40">
        <f>'INFORMACION INICIAL'!C6</f>
        <v>21</v>
      </c>
      <c r="E20" s="8">
        <f>B20*(D20-C20)*'INFORMACION INICIAL'!C7*'INFORMACION INICIAL'!C8/3.6</f>
        <v>576.88858310328089</v>
      </c>
    </row>
  </sheetData>
  <mergeCells count="1">
    <mergeCell ref="B2:G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E14" sqref="E14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79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21">
        <f>7.38*3-2*4.9</f>
        <v>12.34</v>
      </c>
      <c r="D6" s="132">
        <v>0.36</v>
      </c>
      <c r="E6" s="13">
        <f>'INFORMACION INICIAL'!C4</f>
        <v>10</v>
      </c>
      <c r="F6" s="43">
        <f>'INFORMACION INICIAL'!C6</f>
        <v>21</v>
      </c>
      <c r="G6" s="8">
        <f t="shared" ref="G6:G12" si="0">C6*D6*(F6-E6)</f>
        <v>48.866399999999999</v>
      </c>
    </row>
    <row r="7" spans="2:7" x14ac:dyDescent="0.25">
      <c r="B7" s="32" t="s">
        <v>44</v>
      </c>
      <c r="C7" s="21">
        <f>7.38*3-1.45*2</f>
        <v>19.240000000000002</v>
      </c>
      <c r="D7" s="132">
        <v>0.36</v>
      </c>
      <c r="E7" s="13">
        <f>'INFORMACION INICIAL'!C4</f>
        <v>10</v>
      </c>
      <c r="F7" s="43">
        <f>'INFORMACION INICIAL'!C6</f>
        <v>21</v>
      </c>
      <c r="G7" s="8">
        <f t="shared" si="0"/>
        <v>76.190399999999997</v>
      </c>
    </row>
    <row r="8" spans="2:7" x14ac:dyDescent="0.25">
      <c r="B8" s="32" t="s">
        <v>45</v>
      </c>
      <c r="C8" s="21">
        <f>7.65*3</f>
        <v>22.950000000000003</v>
      </c>
      <c r="D8" s="132">
        <v>0.36</v>
      </c>
      <c r="E8" s="13">
        <f>'INFORMACION INICIAL'!C4</f>
        <v>10</v>
      </c>
      <c r="F8" s="43">
        <f>'INFORMACION INICIAL'!C6</f>
        <v>21</v>
      </c>
      <c r="G8" s="8">
        <f t="shared" si="0"/>
        <v>90.882000000000005</v>
      </c>
    </row>
    <row r="9" spans="2:7" x14ac:dyDescent="0.25">
      <c r="B9" s="32" t="s">
        <v>46</v>
      </c>
      <c r="C9" s="21">
        <f>7.65*3</f>
        <v>22.950000000000003</v>
      </c>
      <c r="D9" s="132">
        <v>0.36</v>
      </c>
      <c r="E9" s="13">
        <f>'INFORMACION INICIAL'!C3</f>
        <v>-1.8</v>
      </c>
      <c r="F9" s="43">
        <f>'INFORMACION INICIAL'!C6</f>
        <v>21</v>
      </c>
      <c r="G9" s="8">
        <f t="shared" si="0"/>
        <v>188.37360000000001</v>
      </c>
    </row>
    <row r="10" spans="2:7" x14ac:dyDescent="0.25">
      <c r="B10" s="32" t="s">
        <v>49</v>
      </c>
      <c r="C10" s="21">
        <f>2*1.45+2*4.3+2*0.6</f>
        <v>12.7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521.20799999999997</v>
      </c>
    </row>
    <row r="11" spans="2:7" x14ac:dyDescent="0.25">
      <c r="B11" s="32" t="s">
        <v>47</v>
      </c>
      <c r="C11" s="8">
        <f>C12</f>
        <v>47.163800000000002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225.82027440000002</v>
      </c>
    </row>
    <row r="12" spans="2:7" x14ac:dyDescent="0.25">
      <c r="B12" s="32" t="s">
        <v>48</v>
      </c>
      <c r="C12" s="8">
        <f>'VENTILACION SUPER-PERS'!D40</f>
        <v>47.163800000000002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703.21225799999991</v>
      </c>
    </row>
    <row r="13" spans="2:7" x14ac:dyDescent="0.25">
      <c r="B13" s="32"/>
      <c r="C13" s="21"/>
      <c r="D13" s="21"/>
      <c r="E13" s="21"/>
      <c r="F13" s="21" t="s">
        <v>59</v>
      </c>
      <c r="G13" s="8">
        <f>SUM(G6:G12)</f>
        <v>1854.5529323999999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10">
        <f>'INFORMACION INICIAL'!C10</f>
        <v>0.5</v>
      </c>
      <c r="C16" s="15">
        <f>C12*3</f>
        <v>141.4914</v>
      </c>
      <c r="D16" s="13">
        <f>'INFORMACION INICIAL'!C3</f>
        <v>-1.8</v>
      </c>
      <c r="E16" s="10">
        <f>'INFORMACION INICIAL'!C6</f>
        <v>21</v>
      </c>
      <c r="F16" s="15">
        <f>B16*C16*(E16-D16)*'INFORMACION INICIAL'!C7*'INFORMACION INICIAL'!C8/3.6</f>
        <v>574.85214210609479</v>
      </c>
    </row>
    <row r="18" spans="2:5" x14ac:dyDescent="0.25">
      <c r="B18" t="s">
        <v>42</v>
      </c>
    </row>
    <row r="19" spans="2:5" x14ac:dyDescent="0.25">
      <c r="B19" s="43" t="s">
        <v>107</v>
      </c>
      <c r="C19" s="43" t="s">
        <v>105</v>
      </c>
      <c r="D19" s="43" t="s">
        <v>104</v>
      </c>
      <c r="E19" s="21" t="s">
        <v>103</v>
      </c>
    </row>
    <row r="20" spans="2:5" x14ac:dyDescent="0.25">
      <c r="B20" s="8">
        <f>'VENTILACION SUPER-PERS'!H40*3.6</f>
        <v>551.01338999999996</v>
      </c>
      <c r="C20" s="13">
        <f>'INFORMACION INICIAL'!C3</f>
        <v>-1.8</v>
      </c>
      <c r="D20" s="39">
        <f>'INFORMACION INICIAL'!C6</f>
        <v>21</v>
      </c>
      <c r="E20" s="8">
        <f>B20*(D20-C20)*'INFORMACION INICIAL'!C7*'INFORMACION INICIAL'!C8/3.6</f>
        <v>4477.3212728214021</v>
      </c>
    </row>
  </sheetData>
  <mergeCells count="1">
    <mergeCell ref="B2:G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E10" sqref="E10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80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1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1" t="s">
        <v>43</v>
      </c>
      <c r="C6" s="1">
        <f>6.42*3-2.25*2</f>
        <v>14.759999999999998</v>
      </c>
      <c r="D6" s="132">
        <v>0.36</v>
      </c>
      <c r="E6" s="13">
        <f>'INFORMACION INICIAL'!C4</f>
        <v>10</v>
      </c>
      <c r="F6" s="43">
        <f>'INFORMACION INICIAL'!C6</f>
        <v>21</v>
      </c>
      <c r="G6" s="8">
        <f t="shared" ref="G6:G12" si="0">C6*D6*(F6-E6)</f>
        <v>58.44959999999999</v>
      </c>
    </row>
    <row r="7" spans="2:7" x14ac:dyDescent="0.25">
      <c r="B7" s="31" t="s">
        <v>44</v>
      </c>
      <c r="C7" s="21">
        <f>6.42*3</f>
        <v>19.259999999999998</v>
      </c>
      <c r="D7" s="132">
        <v>0.36</v>
      </c>
      <c r="E7" s="13">
        <f>'INFORMACION INICIAL'!C4</f>
        <v>10</v>
      </c>
      <c r="F7" s="43">
        <f>'INFORMACION INICIAL'!C6</f>
        <v>21</v>
      </c>
      <c r="G7" s="8">
        <f t="shared" si="0"/>
        <v>76.269599999999997</v>
      </c>
    </row>
    <row r="8" spans="2:7" x14ac:dyDescent="0.25">
      <c r="B8" s="31" t="s">
        <v>45</v>
      </c>
      <c r="C8" s="21">
        <f>8.38*3-2*3.6+2*1.95</f>
        <v>21.84</v>
      </c>
      <c r="D8" s="132">
        <v>0.36</v>
      </c>
      <c r="E8" s="13">
        <f>'INFORMACION INICIAL'!C3</f>
        <v>-1.8</v>
      </c>
      <c r="F8" s="43">
        <f>'INFORMACION INICIAL'!C6</f>
        <v>21</v>
      </c>
      <c r="G8" s="8">
        <f t="shared" si="0"/>
        <v>179.26272</v>
      </c>
    </row>
    <row r="9" spans="2:7" x14ac:dyDescent="0.25">
      <c r="B9" s="31" t="s">
        <v>46</v>
      </c>
      <c r="C9" s="21">
        <f>8.2*3-2*2</f>
        <v>20.599999999999998</v>
      </c>
      <c r="D9" s="132">
        <v>0.36</v>
      </c>
      <c r="E9" s="13">
        <f>'INFORMACION INICIAL'!C4</f>
        <v>10</v>
      </c>
      <c r="F9" s="43">
        <f>'INFORMACION INICIAL'!C6</f>
        <v>21</v>
      </c>
      <c r="G9" s="8">
        <f t="shared" si="0"/>
        <v>81.575999999999979</v>
      </c>
    </row>
    <row r="10" spans="2:7" x14ac:dyDescent="0.25">
      <c r="B10" s="31" t="s">
        <v>49</v>
      </c>
      <c r="C10" s="21">
        <f>2*2+2*3.5+2*1.95+2*2.25</f>
        <v>19.399999999999999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796.17600000000004</v>
      </c>
    </row>
    <row r="11" spans="2:7" x14ac:dyDescent="0.25">
      <c r="B11" s="31" t="s">
        <v>47</v>
      </c>
      <c r="C11" s="8">
        <f>C12</f>
        <v>45.281500000000001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216.80782199999999</v>
      </c>
    </row>
    <row r="12" spans="2:7" x14ac:dyDescent="0.25">
      <c r="B12" s="31" t="s">
        <v>48</v>
      </c>
      <c r="C12" s="8">
        <f>'VENTILACION SUPER-PERS'!D44</f>
        <v>45.281500000000001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675.14716499999997</v>
      </c>
    </row>
    <row r="13" spans="2:7" x14ac:dyDescent="0.25">
      <c r="B13" s="4"/>
      <c r="C13" s="21"/>
      <c r="D13" s="4"/>
      <c r="E13" s="4"/>
      <c r="F13" s="21" t="s">
        <v>59</v>
      </c>
      <c r="G13" s="8">
        <f>SUM(G6:G12)</f>
        <v>2083.6889070000002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10">
        <f>'INFORMACION INICIAL'!C10</f>
        <v>0.5</v>
      </c>
      <c r="C16" s="15">
        <f>C12*3</f>
        <v>135.84450000000001</v>
      </c>
      <c r="D16" s="13">
        <f>'INFORMACION INICIAL'!C3</f>
        <v>-1.8</v>
      </c>
      <c r="E16" s="10">
        <f>'INFORMACION INICIAL'!C6</f>
        <v>21</v>
      </c>
      <c r="F16" s="15">
        <f>B16*C16*(E16-D16)*'INFORMACION INICIAL'!C7*'INFORMACION INICIAL'!C8/3.6</f>
        <v>551.90988157818356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SUPER-PERS'!H44*3.6</f>
        <v>184.88002500000002</v>
      </c>
      <c r="C20" s="13">
        <f>'INFORMACION INICIAL'!C3</f>
        <v>-1.8</v>
      </c>
      <c r="D20" s="10">
        <f>'INFORMACION INICIAL'!C6</f>
        <v>21</v>
      </c>
      <c r="E20" s="8">
        <f>B20*(D20-C20)*'INFORMACION INICIAL'!C7*'INFORMACION INICIAL'!C8/3.6</f>
        <v>1502.2634365605029</v>
      </c>
    </row>
  </sheetData>
  <mergeCells count="1">
    <mergeCell ref="B2:G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E11" sqref="E11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74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8">
        <f>5.3*3-3.17*2.5</f>
        <v>7.9749999999999988</v>
      </c>
      <c r="D6" s="132">
        <v>0.36</v>
      </c>
      <c r="E6" s="13">
        <f>'INFORMACION INICIAL'!C4</f>
        <v>10</v>
      </c>
      <c r="F6" s="21">
        <f>'INFORMACION INICIAL'!C6</f>
        <v>21</v>
      </c>
      <c r="G6" s="8">
        <f t="shared" ref="G6:G12" si="0">C6*D6*(F6-E6)</f>
        <v>31.580999999999996</v>
      </c>
    </row>
    <row r="7" spans="2:7" x14ac:dyDescent="0.25">
      <c r="B7" s="32" t="s">
        <v>44</v>
      </c>
      <c r="C7" s="8">
        <f>5.7*3</f>
        <v>17.100000000000001</v>
      </c>
      <c r="D7" s="132">
        <v>0.36</v>
      </c>
      <c r="E7" s="13">
        <f>'INFORMACION INICIAL'!C4</f>
        <v>10</v>
      </c>
      <c r="F7" s="43">
        <f>'INFORMACION INICIAL'!C6</f>
        <v>21</v>
      </c>
      <c r="G7" s="8">
        <f t="shared" si="0"/>
        <v>67.716000000000008</v>
      </c>
    </row>
    <row r="8" spans="2:7" x14ac:dyDescent="0.25">
      <c r="B8" s="32" t="s">
        <v>45</v>
      </c>
      <c r="C8" s="8">
        <f>6.27*3-1.95*2.5</f>
        <v>13.934999999999999</v>
      </c>
      <c r="D8" s="132">
        <v>0.36</v>
      </c>
      <c r="E8" s="13">
        <f>'INFORMACION INICIAL'!C4</f>
        <v>10</v>
      </c>
      <c r="F8" s="43">
        <f>'INFORMACION INICIAL'!C6</f>
        <v>21</v>
      </c>
      <c r="G8" s="8">
        <f t="shared" si="0"/>
        <v>55.182599999999994</v>
      </c>
    </row>
    <row r="9" spans="2:7" x14ac:dyDescent="0.25">
      <c r="B9" s="32" t="s">
        <v>46</v>
      </c>
      <c r="C9" s="8">
        <f>6.27*3</f>
        <v>18.809999999999999</v>
      </c>
      <c r="D9" s="132">
        <v>0.36</v>
      </c>
      <c r="E9" s="13">
        <f>'INFORMACION INICIAL'!C4</f>
        <v>10</v>
      </c>
      <c r="F9" s="43">
        <f>'INFORMACION INICIAL'!C6</f>
        <v>21</v>
      </c>
      <c r="G9" s="8">
        <f t="shared" si="0"/>
        <v>74.487599999999986</v>
      </c>
    </row>
    <row r="10" spans="2:7" x14ac:dyDescent="0.25">
      <c r="B10" s="32" t="s">
        <v>49</v>
      </c>
      <c r="C10" s="8">
        <f>3.17*2.5+1.95*2.5</f>
        <v>12.8</v>
      </c>
      <c r="D10" s="132">
        <v>1.8</v>
      </c>
      <c r="E10" s="13">
        <f>'INFORMACION INICIAL'!C4</f>
        <v>10</v>
      </c>
      <c r="F10" s="43">
        <f>'INFORMACION INICIAL'!C6</f>
        <v>21</v>
      </c>
      <c r="G10" s="8">
        <f t="shared" si="0"/>
        <v>253.44000000000003</v>
      </c>
    </row>
    <row r="11" spans="2:7" x14ac:dyDescent="0.25">
      <c r="B11" s="32" t="s">
        <v>47</v>
      </c>
      <c r="C11" s="8">
        <f>C12</f>
        <v>30.946300000000001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148.17088440000001</v>
      </c>
    </row>
    <row r="12" spans="2:7" x14ac:dyDescent="0.25">
      <c r="B12" s="32" t="s">
        <v>48</v>
      </c>
      <c r="C12" s="8">
        <f>'VENTILACION SUPER-PERS'!D34</f>
        <v>30.946300000000001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461.40933299999995</v>
      </c>
    </row>
    <row r="13" spans="2:7" x14ac:dyDescent="0.25">
      <c r="C13" s="1"/>
      <c r="D13" s="1"/>
      <c r="E13" s="1"/>
      <c r="F13" s="21" t="s">
        <v>59</v>
      </c>
      <c r="G13" s="8">
        <f>SUM(G6:G12)</f>
        <v>1091.9874173999999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10">
        <f>'INFORMACION INICIAL'!C10</f>
        <v>0.5</v>
      </c>
      <c r="C16" s="15">
        <f>C12*3</f>
        <v>92.838899999999995</v>
      </c>
      <c r="D16" s="13">
        <f>'INFORMACION INICIAL'!C3</f>
        <v>-1.8</v>
      </c>
      <c r="E16" s="10">
        <f>'INFORMACION INICIAL'!C6</f>
        <v>21</v>
      </c>
      <c r="F16" s="15">
        <f>B16*C16*(E16-D16)*'INFORMACION INICIAL'!C7*'INFORMACION INICIAL'!C8/3.6</f>
        <v>377.18646176215321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SUPER-PERS'!H34</f>
        <v>39.729862499999996</v>
      </c>
      <c r="C20" s="13">
        <f>'INFORMACION INICIAL'!C3</f>
        <v>-1.8</v>
      </c>
      <c r="D20" s="10">
        <f>'INFORMACION INICIAL'!C6</f>
        <v>21</v>
      </c>
      <c r="E20" s="8">
        <f>B20*(D20-C20)*'INFORMACION INICIAL'!C7*'INFORMACION INICIAL'!C8/3.6</f>
        <v>322.82946615420593</v>
      </c>
    </row>
  </sheetData>
  <mergeCells count="1">
    <mergeCell ref="B2:G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C7" sqref="C7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113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42">
        <f>30.37*3-8.3*2.5-4.35*2-3.5*2.5</f>
        <v>52.91</v>
      </c>
      <c r="D6" s="132">
        <v>0.36</v>
      </c>
      <c r="E6" s="13">
        <f>'INFORMACION INICIAL'!C4</f>
        <v>10</v>
      </c>
      <c r="F6" s="43">
        <f>'INFORMACION INICIAL'!C6</f>
        <v>21</v>
      </c>
      <c r="G6" s="8">
        <f t="shared" ref="G6:G12" si="0">C6*D6*(F6-E6)</f>
        <v>209.52359999999999</v>
      </c>
    </row>
    <row r="7" spans="2:7" x14ac:dyDescent="0.25">
      <c r="B7" s="32" t="s">
        <v>44</v>
      </c>
      <c r="C7" s="42">
        <f>30.37*3-30.37*2.5</f>
        <v>15.185000000000002</v>
      </c>
      <c r="D7" s="132">
        <v>0.36</v>
      </c>
      <c r="E7" s="13">
        <f>'INFORMACION INICIAL'!C3</f>
        <v>-1.8</v>
      </c>
      <c r="F7" s="43">
        <f>'INFORMACION INICIAL'!C6</f>
        <v>21</v>
      </c>
      <c r="G7" s="8">
        <f t="shared" si="0"/>
        <v>124.63848000000002</v>
      </c>
    </row>
    <row r="8" spans="2:7" x14ac:dyDescent="0.25">
      <c r="B8" s="32" t="s">
        <v>45</v>
      </c>
      <c r="C8" s="42">
        <f>13.2*3-2.5*1.92-2.5*2.05</f>
        <v>29.674999999999997</v>
      </c>
      <c r="D8" s="132">
        <v>0.36</v>
      </c>
      <c r="E8" s="13">
        <f>'INFORMACION INICIAL'!C4</f>
        <v>10</v>
      </c>
      <c r="F8" s="43">
        <f>'INFORMACION INICIAL'!C6</f>
        <v>21</v>
      </c>
      <c r="G8" s="8">
        <f t="shared" si="0"/>
        <v>117.51299999999998</v>
      </c>
    </row>
    <row r="9" spans="2:7" x14ac:dyDescent="0.25">
      <c r="B9" s="32" t="s">
        <v>46</v>
      </c>
      <c r="C9" s="42">
        <f>13.2*3-1.87*2.5</f>
        <v>34.924999999999997</v>
      </c>
      <c r="D9" s="132">
        <v>0.36</v>
      </c>
      <c r="E9" s="13">
        <f>'INFORMACION INICIAL'!C4</f>
        <v>10</v>
      </c>
      <c r="F9" s="43">
        <f>'INFORMACION INICIAL'!C6</f>
        <v>21</v>
      </c>
      <c r="G9" s="8">
        <f t="shared" si="0"/>
        <v>138.303</v>
      </c>
    </row>
    <row r="10" spans="2:7" x14ac:dyDescent="0.25">
      <c r="B10" s="32" t="s">
        <v>49</v>
      </c>
      <c r="C10" s="42">
        <f>30.37*2.5+-8.3*2.5+4.35*2+3.5*2.5+2.5*1.92+2.5*2.05+1.87*2.5</f>
        <v>87.224999999999994</v>
      </c>
      <c r="D10" s="132">
        <v>1.8</v>
      </c>
      <c r="E10" s="13">
        <f>'INFORMACION INICIAL'!C3</f>
        <v>-1.8</v>
      </c>
      <c r="F10" s="43">
        <f>'INFORMACION INICIAL'!C6</f>
        <v>21</v>
      </c>
      <c r="G10" s="8">
        <f t="shared" si="0"/>
        <v>3579.7139999999999</v>
      </c>
    </row>
    <row r="11" spans="2:7" x14ac:dyDescent="0.25">
      <c r="B11" s="32" t="s">
        <v>47</v>
      </c>
      <c r="C11" s="42">
        <f>C12</f>
        <v>350.73739999999998</v>
      </c>
      <c r="D11" s="132">
        <v>0.21</v>
      </c>
      <c r="E11" s="13">
        <f>'INFORMACION INICIAL'!C3</f>
        <v>-1.8</v>
      </c>
      <c r="F11" s="43">
        <f>'INFORMACION INICIAL'!C6</f>
        <v>21</v>
      </c>
      <c r="G11" s="8">
        <f t="shared" si="0"/>
        <v>1679.3306711999996</v>
      </c>
    </row>
    <row r="12" spans="2:7" x14ac:dyDescent="0.25">
      <c r="B12" s="32" t="s">
        <v>48</v>
      </c>
      <c r="C12" s="42">
        <f>'VENTILACION SUPER-PERS'!D45</f>
        <v>350.73739999999998</v>
      </c>
      <c r="D12" s="132">
        <v>0.71</v>
      </c>
      <c r="E12" s="13">
        <f>'INFORMACION INICIAL'!C5</f>
        <v>0</v>
      </c>
      <c r="F12" s="43">
        <f>'INFORMACION INICIAL'!C6</f>
        <v>21</v>
      </c>
      <c r="G12" s="8">
        <f t="shared" si="0"/>
        <v>5229.4946339999988</v>
      </c>
    </row>
    <row r="13" spans="2:7" x14ac:dyDescent="0.25">
      <c r="B13" s="4"/>
      <c r="C13" s="4"/>
      <c r="D13" s="4"/>
      <c r="E13" s="4"/>
      <c r="F13" s="21" t="s">
        <v>59</v>
      </c>
      <c r="G13" s="8">
        <f>SUM(G6:G12)</f>
        <v>11078.517385199997</v>
      </c>
    </row>
    <row r="14" spans="2:7" x14ac:dyDescent="0.25">
      <c r="B14" t="s">
        <v>41</v>
      </c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10">
        <f>'INFORMACION INICIAL'!C10</f>
        <v>0.5</v>
      </c>
      <c r="C16" s="15">
        <f>C12*3</f>
        <v>1052.2121999999999</v>
      </c>
      <c r="D16" s="13">
        <f>'INFORMACION INICIAL'!C3</f>
        <v>-1.8</v>
      </c>
      <c r="E16" s="10">
        <f>'INFORMACION INICIAL'!C6</f>
        <v>21</v>
      </c>
      <c r="F16" s="15">
        <f>B16*C16*(E16-D16)*'INFORMACION INICIAL'!C7*'INFORMACION INICIAL'!C8/3.6</f>
        <v>4274.934286607996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SUPER-PERS'!H45*3.6</f>
        <v>473.4954899999999</v>
      </c>
      <c r="C20" s="13">
        <f>'INFORMACION INICIAL'!C3</f>
        <v>-1.8</v>
      </c>
      <c r="D20" s="3">
        <f>'INFORMACION INICIAL'!C6</f>
        <v>21</v>
      </c>
      <c r="E20" s="15">
        <f>B20*(D20-C20)*'INFORMACION INICIAL'!C7*'INFORMACION INICIAL'!C8/3.6</f>
        <v>3847.440857947196</v>
      </c>
    </row>
  </sheetData>
  <mergeCells count="1">
    <mergeCell ref="B2:G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9"/>
  <sheetViews>
    <sheetView topLeftCell="A40" zoomScale="70" zoomScaleNormal="70" workbookViewId="0">
      <selection activeCell="G53" sqref="G53"/>
    </sheetView>
  </sheetViews>
  <sheetFormatPr baseColWidth="10" defaultRowHeight="15" x14ac:dyDescent="0.25"/>
  <cols>
    <col min="3" max="3" width="57.140625" bestFit="1" customWidth="1"/>
    <col min="4" max="4" width="23.28515625" bestFit="1" customWidth="1"/>
    <col min="5" max="5" width="29.5703125" bestFit="1" customWidth="1"/>
    <col min="6" max="7" width="24.140625" bestFit="1" customWidth="1"/>
    <col min="8" max="8" width="20.28515625" bestFit="1" customWidth="1"/>
  </cols>
  <sheetData>
    <row r="2" spans="1:8" x14ac:dyDescent="0.25">
      <c r="A2" t="s">
        <v>141</v>
      </c>
      <c r="C2" s="177" t="s">
        <v>39</v>
      </c>
      <c r="D2" s="177"/>
      <c r="E2" s="177"/>
      <c r="F2" s="177"/>
      <c r="G2" s="177"/>
      <c r="H2" s="177"/>
    </row>
    <row r="4" spans="1:8" x14ac:dyDescent="0.25">
      <c r="C4" t="s">
        <v>58</v>
      </c>
    </row>
    <row r="5" spans="1:8" x14ac:dyDescent="0.25">
      <c r="C5" s="32" t="s">
        <v>40</v>
      </c>
      <c r="D5" s="81" t="s">
        <v>102</v>
      </c>
      <c r="E5" s="81" t="s">
        <v>106</v>
      </c>
      <c r="F5" s="81" t="s">
        <v>105</v>
      </c>
      <c r="G5" s="81" t="s">
        <v>104</v>
      </c>
      <c r="H5" s="81" t="s">
        <v>103</v>
      </c>
    </row>
    <row r="6" spans="1:8" x14ac:dyDescent="0.25">
      <c r="C6" s="32" t="s">
        <v>43</v>
      </c>
      <c r="D6" s="42">
        <f>9.25*3-3.95*2</f>
        <v>19.850000000000001</v>
      </c>
      <c r="E6" s="132">
        <v>0.36</v>
      </c>
      <c r="F6" s="13">
        <f>'INFORMACION INICIAL'!C3</f>
        <v>-1.8</v>
      </c>
      <c r="G6" s="81">
        <v>27</v>
      </c>
      <c r="H6" s="8">
        <f t="shared" ref="H6:H12" si="0">D6*E6*(G6-F6)</f>
        <v>205.8048</v>
      </c>
    </row>
    <row r="7" spans="1:8" x14ac:dyDescent="0.25">
      <c r="C7" s="32" t="s">
        <v>44</v>
      </c>
      <c r="D7" s="42">
        <f>9.25*3</f>
        <v>27.75</v>
      </c>
      <c r="E7" s="132">
        <v>0.36</v>
      </c>
      <c r="F7" s="13">
        <f>'INFORMACION INICIAL'!C4</f>
        <v>10</v>
      </c>
      <c r="G7" s="81">
        <v>27</v>
      </c>
      <c r="H7" s="8">
        <f t="shared" si="0"/>
        <v>169.83</v>
      </c>
    </row>
    <row r="8" spans="1:8" x14ac:dyDescent="0.25">
      <c r="C8" s="32" t="s">
        <v>45</v>
      </c>
      <c r="D8" s="42">
        <f>10.25*3-(2.45+3.95)*2</f>
        <v>17.95</v>
      </c>
      <c r="E8" s="132">
        <v>0.36</v>
      </c>
      <c r="F8" s="13">
        <f>'INFORMACION INICIAL'!C4</f>
        <v>10</v>
      </c>
      <c r="G8" s="81">
        <v>27</v>
      </c>
      <c r="H8" s="8">
        <f t="shared" si="0"/>
        <v>109.854</v>
      </c>
    </row>
    <row r="9" spans="1:8" x14ac:dyDescent="0.25">
      <c r="C9" s="32" t="s">
        <v>46</v>
      </c>
      <c r="D9" s="42">
        <f>10.25*3-(4.01+2.35)*2</f>
        <v>18.03</v>
      </c>
      <c r="E9" s="132">
        <v>0.36</v>
      </c>
      <c r="F9" s="13">
        <f>'INFORMACION INICIAL'!C3</f>
        <v>-1.8</v>
      </c>
      <c r="G9" s="81">
        <v>27</v>
      </c>
      <c r="H9" s="8">
        <f t="shared" si="0"/>
        <v>186.93504000000001</v>
      </c>
    </row>
    <row r="10" spans="1:8" x14ac:dyDescent="0.25">
      <c r="C10" s="32" t="s">
        <v>49</v>
      </c>
      <c r="D10" s="42">
        <f>(3.95+4.01+2.35+2.45+3.95)*2</f>
        <v>33.42</v>
      </c>
      <c r="E10" s="132">
        <v>1.8</v>
      </c>
      <c r="F10" s="13">
        <f>'INFORMACION INICIAL'!C3</f>
        <v>-1.8</v>
      </c>
      <c r="G10" s="81">
        <v>27</v>
      </c>
      <c r="H10" s="8">
        <f t="shared" si="0"/>
        <v>1732.4928000000002</v>
      </c>
    </row>
    <row r="11" spans="1:8" x14ac:dyDescent="0.25">
      <c r="C11" s="32" t="s">
        <v>47</v>
      </c>
      <c r="D11" s="42">
        <f>D12</f>
        <v>83.472499999999997</v>
      </c>
      <c r="E11" s="132">
        <v>0.21</v>
      </c>
      <c r="F11" s="13">
        <f>'INFORMACION INICIAL'!C3</f>
        <v>-1.8</v>
      </c>
      <c r="G11" s="81">
        <v>27</v>
      </c>
      <c r="H11" s="8">
        <f t="shared" si="0"/>
        <v>504.84168</v>
      </c>
    </row>
    <row r="12" spans="1:8" ht="15.75" thickBot="1" x14ac:dyDescent="0.3">
      <c r="C12" s="32" t="s">
        <v>48</v>
      </c>
      <c r="D12" s="42">
        <f>'VENTILACION SUPER-PERS'!D46</f>
        <v>83.472499999999997</v>
      </c>
      <c r="E12" s="132">
        <v>0.71</v>
      </c>
      <c r="F12" s="13">
        <f>'INFORMACION INICIAL'!C5</f>
        <v>0</v>
      </c>
      <c r="G12" s="14">
        <v>27</v>
      </c>
      <c r="H12" s="70">
        <f t="shared" si="0"/>
        <v>1600.1678249999998</v>
      </c>
    </row>
    <row r="13" spans="1:8" ht="15.75" thickBot="1" x14ac:dyDescent="0.3">
      <c r="C13" s="1" t="s">
        <v>41</v>
      </c>
      <c r="D13" s="22"/>
      <c r="E13" s="22"/>
      <c r="F13" s="22"/>
      <c r="G13" s="16" t="s">
        <v>89</v>
      </c>
      <c r="H13" s="57">
        <f>(SUM(H6:H12))/1000</f>
        <v>4.5099261450000006</v>
      </c>
    </row>
    <row r="15" spans="1:8" x14ac:dyDescent="0.25">
      <c r="C15" s="43" t="s">
        <v>100</v>
      </c>
      <c r="D15" s="43" t="s">
        <v>101</v>
      </c>
      <c r="E15" s="43" t="s">
        <v>105</v>
      </c>
      <c r="F15" s="43" t="s">
        <v>104</v>
      </c>
      <c r="G15" s="43" t="s">
        <v>173</v>
      </c>
    </row>
    <row r="16" spans="1:8" x14ac:dyDescent="0.25">
      <c r="C16" s="10">
        <v>1.1399999999999999</v>
      </c>
      <c r="D16" s="15">
        <f>D12*3</f>
        <v>250.41749999999999</v>
      </c>
      <c r="E16" s="13">
        <f>'INFORMACION INICIAL'!C3</f>
        <v>-1.8</v>
      </c>
      <c r="F16" s="10">
        <v>27</v>
      </c>
      <c r="G16" s="83">
        <f>C16*D16*(F16-E16)*'INFORMACION INICIAL'!C7*'INFORMACION INICIAL'!C8/3600</f>
        <v>2.9301056073518006</v>
      </c>
    </row>
    <row r="18" spans="1:9" x14ac:dyDescent="0.25">
      <c r="C18" s="1" t="s">
        <v>42</v>
      </c>
    </row>
    <row r="19" spans="1:9" x14ac:dyDescent="0.25">
      <c r="C19" s="43" t="s">
        <v>107</v>
      </c>
      <c r="D19" s="43" t="s">
        <v>105</v>
      </c>
      <c r="E19" s="43" t="s">
        <v>104</v>
      </c>
      <c r="F19" s="43" t="s">
        <v>103</v>
      </c>
    </row>
    <row r="20" spans="1:9" x14ac:dyDescent="0.25">
      <c r="C20" s="8">
        <f>'VENTILACION SUPER-PERS'!H46*3.6</f>
        <v>901.50299999999993</v>
      </c>
      <c r="D20" s="13">
        <f>'INFORMACION INICIAL'!C3</f>
        <v>-1.8</v>
      </c>
      <c r="E20" s="3">
        <v>27</v>
      </c>
      <c r="F20" s="83">
        <f>C20*(E20-D20)*'INFORMACION INICIAL'!C7*'INFORMACION INICIAL'!C8/3600</f>
        <v>9.2529650758477917</v>
      </c>
    </row>
    <row r="22" spans="1:9" x14ac:dyDescent="0.25">
      <c r="A22" t="s">
        <v>140</v>
      </c>
      <c r="C22" t="s">
        <v>125</v>
      </c>
    </row>
    <row r="23" spans="1:9" ht="15.75" thickBot="1" x14ac:dyDescent="0.3">
      <c r="C23" s="4" t="s">
        <v>203</v>
      </c>
      <c r="D23" s="61">
        <f>638000/100000</f>
        <v>6.38</v>
      </c>
    </row>
    <row r="24" spans="1:9" ht="15.75" thickBot="1" x14ac:dyDescent="0.3">
      <c r="C24" s="4" t="s">
        <v>204</v>
      </c>
      <c r="D24" s="61">
        <f>267963.1/100000</f>
        <v>2.6796309999999997</v>
      </c>
      <c r="F24" s="90" t="s">
        <v>208</v>
      </c>
      <c r="G24" s="91">
        <f>((D29+D27)*1205*4.184*16/7)/3600</f>
        <v>36.455418490546023</v>
      </c>
      <c r="H24" s="88" t="s">
        <v>172</v>
      </c>
    </row>
    <row r="25" spans="1:9" x14ac:dyDescent="0.25">
      <c r="C25" s="4" t="s">
        <v>205</v>
      </c>
      <c r="D25" s="62">
        <f>D24*D23</f>
        <v>17.096045779999997</v>
      </c>
    </row>
    <row r="26" spans="1:9" x14ac:dyDescent="0.25">
      <c r="C26" s="4" t="s">
        <v>206</v>
      </c>
      <c r="D26" s="61">
        <f>212000/100000</f>
        <v>2.12</v>
      </c>
    </row>
    <row r="27" spans="1:9" x14ac:dyDescent="0.25">
      <c r="C27" s="4" t="s">
        <v>143</v>
      </c>
      <c r="D27" s="61">
        <f>D26*D24*1</f>
        <v>5.6808177199999994</v>
      </c>
      <c r="E27" s="59"/>
    </row>
    <row r="28" spans="1:9" x14ac:dyDescent="0.25">
      <c r="C28" s="4" t="s">
        <v>207</v>
      </c>
      <c r="D28" s="61">
        <f>D23-D26</f>
        <v>4.26</v>
      </c>
      <c r="F28" s="1"/>
      <c r="G28" s="1"/>
      <c r="H28" s="1"/>
      <c r="I28" s="78"/>
    </row>
    <row r="29" spans="1:9" x14ac:dyDescent="0.25">
      <c r="C29" s="63" t="s">
        <v>142</v>
      </c>
      <c r="D29" s="62">
        <f>D28*D24*0.5</f>
        <v>5.7076140299999993</v>
      </c>
      <c r="E29" s="59"/>
      <c r="F29" s="1"/>
      <c r="G29" s="1"/>
      <c r="H29" s="1"/>
    </row>
    <row r="33" spans="1:8" x14ac:dyDescent="0.25">
      <c r="A33" t="s">
        <v>144</v>
      </c>
      <c r="C33" s="177" t="s">
        <v>179</v>
      </c>
      <c r="D33" s="177"/>
      <c r="E33" s="177"/>
      <c r="F33" s="22"/>
      <c r="G33" s="22"/>
      <c r="H33" s="22"/>
    </row>
    <row r="34" spans="1:8" x14ac:dyDescent="0.25">
      <c r="C34" s="4" t="s">
        <v>180</v>
      </c>
      <c r="D34" s="81">
        <v>17.28</v>
      </c>
      <c r="E34" s="81" t="s">
        <v>181</v>
      </c>
      <c r="F34" s="75"/>
      <c r="G34" s="87">
        <f>1.14*D16</f>
        <v>285.47594999999995</v>
      </c>
      <c r="H34" s="75">
        <f>G34*1.2</f>
        <v>342.57113999999996</v>
      </c>
    </row>
    <row r="35" spans="1:8" x14ac:dyDescent="0.25">
      <c r="C35" s="4" t="s">
        <v>182</v>
      </c>
      <c r="D35" s="81">
        <v>3.39</v>
      </c>
      <c r="E35" s="81" t="s">
        <v>183</v>
      </c>
      <c r="F35" s="22"/>
      <c r="G35" s="22"/>
      <c r="H35" s="22"/>
    </row>
    <row r="36" spans="1:8" x14ac:dyDescent="0.25">
      <c r="C36" s="4" t="s">
        <v>184</v>
      </c>
      <c r="D36" s="81">
        <v>2.16</v>
      </c>
      <c r="E36" s="81" t="s">
        <v>185</v>
      </c>
      <c r="F36" s="22"/>
      <c r="G36" s="22"/>
      <c r="H36" s="22"/>
    </row>
    <row r="37" spans="1:8" x14ac:dyDescent="0.25">
      <c r="C37" s="4" t="s">
        <v>186</v>
      </c>
      <c r="D37" s="81">
        <v>0.1</v>
      </c>
      <c r="E37" s="81" t="s">
        <v>187</v>
      </c>
      <c r="F37" s="22"/>
      <c r="G37" s="22"/>
      <c r="H37" s="22"/>
    </row>
    <row r="38" spans="1:8" x14ac:dyDescent="0.25">
      <c r="C38" s="4" t="s">
        <v>188</v>
      </c>
      <c r="D38" s="81">
        <v>2330</v>
      </c>
      <c r="E38" s="81" t="s">
        <v>189</v>
      </c>
      <c r="F38" s="22"/>
      <c r="G38" s="22"/>
      <c r="H38" s="22"/>
    </row>
    <row r="39" spans="1:8" ht="15.75" thickBot="1" x14ac:dyDescent="0.3">
      <c r="C39" s="94" t="s">
        <v>190</v>
      </c>
      <c r="D39" s="14">
        <v>1</v>
      </c>
      <c r="E39" s="14" t="s">
        <v>191</v>
      </c>
      <c r="F39" s="89"/>
      <c r="G39" s="67"/>
      <c r="H39" s="22"/>
    </row>
    <row r="40" spans="1:8" ht="15.75" thickBot="1" x14ac:dyDescent="0.3">
      <c r="C40" s="69" t="s">
        <v>192</v>
      </c>
      <c r="D40" s="95">
        <f>D39*D34*(D35-D36)*(0.089+0.0782*D37)/D38</f>
        <v>8.8319785751072948E-4</v>
      </c>
      <c r="E40" s="96" t="s">
        <v>193</v>
      </c>
      <c r="F40" s="66"/>
      <c r="G40" s="22"/>
      <c r="H40" s="22"/>
    </row>
    <row r="41" spans="1:8" x14ac:dyDescent="0.25">
      <c r="C41" s="9" t="s">
        <v>194</v>
      </c>
      <c r="D41" s="10">
        <v>1.35E-2</v>
      </c>
      <c r="E41" s="10" t="s">
        <v>195</v>
      </c>
      <c r="F41" s="66"/>
      <c r="G41" s="67"/>
      <c r="H41" s="22"/>
    </row>
    <row r="42" spans="1:8" x14ac:dyDescent="0.25">
      <c r="C42" s="4" t="s">
        <v>196</v>
      </c>
      <c r="D42" s="97">
        <v>1.5E-3</v>
      </c>
      <c r="E42" s="81" t="s">
        <v>197</v>
      </c>
      <c r="F42" s="66"/>
      <c r="G42" s="68"/>
      <c r="H42" s="22"/>
    </row>
    <row r="43" spans="1:8" ht="15.75" thickBot="1" x14ac:dyDescent="0.3">
      <c r="C43" s="94" t="s">
        <v>198</v>
      </c>
      <c r="D43" s="14">
        <v>1.204</v>
      </c>
      <c r="E43" s="14" t="s">
        <v>199</v>
      </c>
    </row>
    <row r="44" spans="1:8" ht="15.75" thickBot="1" x14ac:dyDescent="0.3">
      <c r="C44" s="69" t="s">
        <v>200</v>
      </c>
      <c r="D44" s="86">
        <f>D40/(D43*(D41-D42))</f>
        <v>6.1129419816634105E-2</v>
      </c>
      <c r="E44" s="96" t="s">
        <v>139</v>
      </c>
    </row>
    <row r="45" spans="1:8" ht="15.75" thickBot="1" x14ac:dyDescent="0.3">
      <c r="C45" s="98" t="s">
        <v>201</v>
      </c>
      <c r="D45" s="99">
        <v>250.4</v>
      </c>
      <c r="E45" s="99" t="s">
        <v>187</v>
      </c>
    </row>
    <row r="46" spans="1:8" ht="15.75" thickBot="1" x14ac:dyDescent="0.3">
      <c r="C46" s="100" t="s">
        <v>202</v>
      </c>
      <c r="D46" s="86">
        <f>(D45/D44)/3600</f>
        <v>1.1378409244549805</v>
      </c>
      <c r="E46" s="96" t="s">
        <v>138</v>
      </c>
    </row>
    <row r="49" spans="1:8" x14ac:dyDescent="0.25">
      <c r="A49" t="s">
        <v>145</v>
      </c>
      <c r="C49" s="58" t="s">
        <v>177</v>
      </c>
      <c r="D49" s="58" t="s">
        <v>102</v>
      </c>
      <c r="E49" s="58" t="s">
        <v>174</v>
      </c>
      <c r="F49" s="58" t="s">
        <v>175</v>
      </c>
      <c r="G49" s="58" t="s">
        <v>176</v>
      </c>
      <c r="H49" s="58" t="s">
        <v>178</v>
      </c>
    </row>
    <row r="50" spans="1:8" x14ac:dyDescent="0.25">
      <c r="C50" s="58" t="s">
        <v>146</v>
      </c>
      <c r="D50" s="58">
        <f>2.7*0.5</f>
        <v>1.35</v>
      </c>
      <c r="E50" s="58">
        <f>18/100</f>
        <v>0.18</v>
      </c>
      <c r="F50" s="8">
        <f>1.6/E50</f>
        <v>8.8888888888888893</v>
      </c>
      <c r="G50" s="58">
        <f>26-14</f>
        <v>12</v>
      </c>
      <c r="H50" s="65">
        <f>D50*F50*G50</f>
        <v>144.00000000000003</v>
      </c>
    </row>
    <row r="51" spans="1:8" x14ac:dyDescent="0.25">
      <c r="C51" s="81" t="s">
        <v>147</v>
      </c>
      <c r="D51" s="81">
        <f>2.7*1</f>
        <v>2.7</v>
      </c>
      <c r="E51" s="81">
        <v>0.18</v>
      </c>
      <c r="F51" s="8">
        <f>1.6/E51</f>
        <v>8.8888888888888893</v>
      </c>
      <c r="G51" s="81">
        <f>26-14</f>
        <v>12</v>
      </c>
      <c r="H51" s="65">
        <f>D51*F51*G51</f>
        <v>288.00000000000006</v>
      </c>
    </row>
    <row r="52" spans="1:8" x14ac:dyDescent="0.25">
      <c r="C52" s="81" t="s">
        <v>148</v>
      </c>
      <c r="D52" s="81">
        <f>6.4*1-4.3*0.5</f>
        <v>4.25</v>
      </c>
      <c r="E52" s="81">
        <v>0.18</v>
      </c>
      <c r="F52" s="8">
        <f>1.6/E52</f>
        <v>8.8888888888888893</v>
      </c>
      <c r="G52" s="81">
        <f>26-14</f>
        <v>12</v>
      </c>
      <c r="H52" s="65">
        <f>D52*F52*G52</f>
        <v>453.33333333333337</v>
      </c>
    </row>
    <row r="53" spans="1:8" x14ac:dyDescent="0.25">
      <c r="C53" s="81" t="s">
        <v>149</v>
      </c>
      <c r="D53" s="81">
        <f>6.4*1-4.3*0.5</f>
        <v>4.25</v>
      </c>
      <c r="E53" s="81">
        <v>0.18</v>
      </c>
      <c r="F53" s="8">
        <f>1.6/E53</f>
        <v>8.8888888888888893</v>
      </c>
      <c r="G53" s="81">
        <f>26-14</f>
        <v>12</v>
      </c>
      <c r="H53" s="65">
        <f>D53*F53*G53</f>
        <v>453.33333333333337</v>
      </c>
    </row>
    <row r="54" spans="1:8" ht="15.75" thickBot="1" x14ac:dyDescent="0.3">
      <c r="C54" s="81" t="s">
        <v>150</v>
      </c>
      <c r="D54" s="81">
        <f>6.4*2.7</f>
        <v>17.28</v>
      </c>
      <c r="E54" s="81">
        <v>0.2</v>
      </c>
      <c r="F54" s="8">
        <f>1.6/E54</f>
        <v>8</v>
      </c>
      <c r="G54" s="14">
        <f>26-14</f>
        <v>12</v>
      </c>
      <c r="H54" s="71">
        <f>D54*F54*G54</f>
        <v>1658.88</v>
      </c>
    </row>
    <row r="55" spans="1:8" ht="15.75" thickBot="1" x14ac:dyDescent="0.3">
      <c r="C55" s="80"/>
      <c r="D55" s="80"/>
      <c r="F55" s="80"/>
      <c r="G55" s="16" t="s">
        <v>89</v>
      </c>
      <c r="H55" s="57">
        <f>SUM(H50:H54)/1000</f>
        <v>2.997546666666667</v>
      </c>
    </row>
    <row r="56" spans="1:8" ht="15.75" thickBot="1" x14ac:dyDescent="0.3"/>
    <row r="57" spans="1:8" ht="15.75" thickBot="1" x14ac:dyDescent="0.3">
      <c r="C57" s="164" t="s">
        <v>209</v>
      </c>
      <c r="D57" s="166"/>
    </row>
    <row r="58" spans="1:8" ht="15.75" thickBot="1" x14ac:dyDescent="0.3">
      <c r="C58" s="82" t="s">
        <v>210</v>
      </c>
      <c r="D58" s="72">
        <f>H13</f>
        <v>4.5099261450000006</v>
      </c>
    </row>
    <row r="59" spans="1:8" ht="15.75" thickBot="1" x14ac:dyDescent="0.3">
      <c r="C59" s="16" t="s">
        <v>211</v>
      </c>
      <c r="D59" s="57">
        <f>G24</f>
        <v>36.455418490546023</v>
      </c>
    </row>
    <row r="60" spans="1:8" ht="15.75" thickBot="1" x14ac:dyDescent="0.3">
      <c r="C60" s="34" t="s">
        <v>212</v>
      </c>
      <c r="D60" s="35">
        <f>H55</f>
        <v>2.997546666666667</v>
      </c>
    </row>
    <row r="61" spans="1:8" ht="15.75" thickBot="1" x14ac:dyDescent="0.3">
      <c r="C61" s="34" t="s">
        <v>213</v>
      </c>
      <c r="D61" s="35">
        <f>G16</f>
        <v>2.9301056073518006</v>
      </c>
    </row>
    <row r="62" spans="1:8" ht="15.75" thickBot="1" x14ac:dyDescent="0.3">
      <c r="C62" s="34" t="s">
        <v>214</v>
      </c>
      <c r="D62" s="35">
        <f>SUM(D58:D61)</f>
        <v>46.892996909564488</v>
      </c>
    </row>
    <row r="65" spans="3:7" ht="15.75" thickBot="1" x14ac:dyDescent="0.3"/>
    <row r="66" spans="3:7" ht="15.75" thickBot="1" x14ac:dyDescent="0.3">
      <c r="C66" s="25" t="s">
        <v>215</v>
      </c>
      <c r="D66" s="26"/>
    </row>
    <row r="67" spans="3:7" ht="15.75" thickBot="1" x14ac:dyDescent="0.3">
      <c r="C67" s="55" t="s">
        <v>216</v>
      </c>
      <c r="D67" s="93">
        <f>D34</f>
        <v>17.28</v>
      </c>
    </row>
    <row r="68" spans="3:7" ht="15.75" thickBot="1" x14ac:dyDescent="0.3">
      <c r="C68" s="29" t="s">
        <v>219</v>
      </c>
      <c r="D68" s="102">
        <v>27</v>
      </c>
    </row>
    <row r="69" spans="3:7" ht="15.75" thickBot="1" x14ac:dyDescent="0.3">
      <c r="C69" s="29" t="s">
        <v>220</v>
      </c>
      <c r="D69" s="102">
        <v>26</v>
      </c>
    </row>
    <row r="73" spans="3:7" ht="15.75" thickBot="1" x14ac:dyDescent="0.3"/>
    <row r="74" spans="3:7" ht="15.75" thickBot="1" x14ac:dyDescent="0.3">
      <c r="C74" s="92" t="s">
        <v>210</v>
      </c>
      <c r="D74" s="57">
        <f>D58</f>
        <v>4.5099261450000006</v>
      </c>
      <c r="F74" s="104" t="s">
        <v>210</v>
      </c>
      <c r="G74" s="57">
        <f>D74</f>
        <v>4.5099261450000006</v>
      </c>
    </row>
    <row r="75" spans="3:7" ht="15.75" thickBot="1" x14ac:dyDescent="0.3">
      <c r="C75" s="34" t="s">
        <v>213</v>
      </c>
      <c r="D75" s="35">
        <f>D61</f>
        <v>2.9301056073518006</v>
      </c>
      <c r="F75" s="34" t="s">
        <v>213</v>
      </c>
      <c r="G75" s="35">
        <f>D75</f>
        <v>2.9301056073518006</v>
      </c>
    </row>
    <row r="76" spans="3:7" ht="15.75" thickBot="1" x14ac:dyDescent="0.3">
      <c r="C76" s="34" t="s">
        <v>217</v>
      </c>
      <c r="D76" s="35">
        <f>(D74+D75+D77)*0.1</f>
        <v>1.6692996828199593</v>
      </c>
      <c r="F76" s="34" t="s">
        <v>217</v>
      </c>
      <c r="G76" s="35">
        <f>D76</f>
        <v>1.6692996828199593</v>
      </c>
    </row>
    <row r="77" spans="3:7" ht="15.75" thickBot="1" x14ac:dyDescent="0.3">
      <c r="C77" s="92" t="s">
        <v>218</v>
      </c>
      <c r="D77" s="57">
        <f>F20</f>
        <v>9.2529650758477917</v>
      </c>
      <c r="F77" s="104" t="s">
        <v>218</v>
      </c>
      <c r="G77" s="57">
        <f>G16</f>
        <v>2.9301056073518006</v>
      </c>
    </row>
    <row r="78" spans="3:7" ht="15.75" thickBot="1" x14ac:dyDescent="0.3">
      <c r="C78" s="34" t="s">
        <v>221</v>
      </c>
      <c r="D78" s="35">
        <f>D74+D75+D76+D77</f>
        <v>18.362296511019551</v>
      </c>
      <c r="F78" s="34" t="s">
        <v>221</v>
      </c>
      <c r="G78" s="35">
        <f>G74+G75+G76+G77</f>
        <v>12.039437042523561</v>
      </c>
    </row>
    <row r="82" spans="3:5" x14ac:dyDescent="0.25">
      <c r="C82" s="1" t="s">
        <v>222</v>
      </c>
      <c r="D82" s="1">
        <v>1081.8</v>
      </c>
      <c r="E82" s="1"/>
    </row>
    <row r="83" spans="3:5" x14ac:dyDescent="0.25">
      <c r="C83" s="1" t="s">
        <v>223</v>
      </c>
      <c r="D83" s="1">
        <v>0.74431999999999998</v>
      </c>
      <c r="E83" s="1"/>
    </row>
    <row r="84" spans="3:5" x14ac:dyDescent="0.25">
      <c r="C84" s="1" t="s">
        <v>224</v>
      </c>
      <c r="D84" s="105">
        <f>D87-D82</f>
        <v>-30.75816775803969</v>
      </c>
      <c r="E84" s="1"/>
    </row>
    <row r="85" spans="3:5" x14ac:dyDescent="0.25">
      <c r="C85" s="1" t="s">
        <v>223</v>
      </c>
      <c r="D85" s="1">
        <v>61.220320000000001</v>
      </c>
      <c r="E85" s="1"/>
    </row>
    <row r="86" spans="3:5" x14ac:dyDescent="0.25">
      <c r="C86" s="1" t="s">
        <v>226</v>
      </c>
      <c r="D86" s="105">
        <f>((D88*D87)-(D82*D83)-(D84*D85))/3600</f>
        <v>20.889394304655799</v>
      </c>
    </row>
    <row r="87" spans="3:5" x14ac:dyDescent="0.25">
      <c r="C87" s="1" t="s">
        <v>227</v>
      </c>
      <c r="D87" s="105">
        <f>D89/D88</f>
        <v>1051.0418322419603</v>
      </c>
    </row>
    <row r="88" spans="3:5" x14ac:dyDescent="0.25">
      <c r="C88" s="1" t="s">
        <v>228</v>
      </c>
      <c r="D88" s="1">
        <v>70.52431</v>
      </c>
    </row>
    <row r="89" spans="3:5" x14ac:dyDescent="0.25">
      <c r="C89" s="1" t="s">
        <v>225</v>
      </c>
      <c r="D89" s="1">
        <f>20.59*3600</f>
        <v>74124</v>
      </c>
    </row>
  </sheetData>
  <mergeCells count="3">
    <mergeCell ref="C2:H2"/>
    <mergeCell ref="C33:E33"/>
    <mergeCell ref="C57:D5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workbookViewId="0">
      <selection activeCell="D18" sqref="D18"/>
    </sheetView>
  </sheetViews>
  <sheetFormatPr baseColWidth="10" defaultRowHeight="15" x14ac:dyDescent="0.25"/>
  <cols>
    <col min="1" max="1" width="3.7109375" customWidth="1"/>
    <col min="2" max="2" width="33.85546875" bestFit="1" customWidth="1"/>
    <col min="3" max="3" width="6.42578125" bestFit="1" customWidth="1"/>
    <col min="4" max="4" width="16.28515625" customWidth="1"/>
    <col min="5" max="5" width="10.7109375" customWidth="1"/>
    <col min="6" max="6" width="3" customWidth="1"/>
    <col min="7" max="7" width="50.28515625" bestFit="1" customWidth="1"/>
  </cols>
  <sheetData>
    <row r="1" spans="2:7" ht="16.5" customHeight="1" x14ac:dyDescent="0.25"/>
    <row r="2" spans="2:7" x14ac:dyDescent="0.25">
      <c r="B2" s="108" t="s">
        <v>233</v>
      </c>
      <c r="C2" s="109">
        <f>20.59</f>
        <v>20.59</v>
      </c>
      <c r="E2" s="101" t="s">
        <v>232</v>
      </c>
      <c r="G2" s="94" t="s">
        <v>234</v>
      </c>
    </row>
    <row r="3" spans="2:7" x14ac:dyDescent="0.25">
      <c r="B3" s="110" t="s">
        <v>235</v>
      </c>
      <c r="C3" s="111">
        <v>30</v>
      </c>
      <c r="E3" s="112">
        <f>C8/C6</f>
        <v>0.82558427197668782</v>
      </c>
      <c r="G3" s="9" t="s">
        <v>236</v>
      </c>
    </row>
    <row r="4" spans="2:7" x14ac:dyDescent="0.25">
      <c r="B4" s="110" t="s">
        <v>237</v>
      </c>
      <c r="C4" s="113">
        <v>0.4</v>
      </c>
      <c r="E4" s="114" t="s">
        <v>238</v>
      </c>
    </row>
    <row r="5" spans="2:7" x14ac:dyDescent="0.25">
      <c r="B5" s="110" t="s">
        <v>239</v>
      </c>
      <c r="C5" s="115">
        <v>56.56832</v>
      </c>
      <c r="E5" s="116">
        <f>C13/C6</f>
        <v>0.17441572802331218</v>
      </c>
      <c r="G5" s="94" t="s">
        <v>240</v>
      </c>
    </row>
    <row r="6" spans="2:7" x14ac:dyDescent="0.25">
      <c r="B6" s="110" t="s">
        <v>241</v>
      </c>
      <c r="C6" s="117">
        <f>C2/C5*3600</f>
        <v>1310.3447300538533</v>
      </c>
      <c r="G6" s="9" t="s">
        <v>242</v>
      </c>
    </row>
    <row r="7" spans="2:7" x14ac:dyDescent="0.25">
      <c r="B7" s="118" t="s">
        <v>243</v>
      </c>
      <c r="C7" s="119">
        <f>C6/1.2</f>
        <v>1091.9539417115445</v>
      </c>
    </row>
    <row r="8" spans="2:7" x14ac:dyDescent="0.25">
      <c r="B8" s="120" t="s">
        <v>244</v>
      </c>
      <c r="C8" s="121">
        <v>1081.8</v>
      </c>
      <c r="G8" s="94" t="s">
        <v>245</v>
      </c>
    </row>
    <row r="9" spans="2:7" x14ac:dyDescent="0.25">
      <c r="B9" s="120" t="s">
        <v>246</v>
      </c>
      <c r="C9" s="121">
        <f>C8/1.2</f>
        <v>901.5</v>
      </c>
      <c r="D9" s="1" t="s">
        <v>247</v>
      </c>
      <c r="G9" s="9" t="s">
        <v>248</v>
      </c>
    </row>
    <row r="10" spans="2:7" x14ac:dyDescent="0.25">
      <c r="B10" s="120" t="s">
        <v>249</v>
      </c>
      <c r="C10" s="121">
        <v>-4.8</v>
      </c>
    </row>
    <row r="11" spans="2:7" x14ac:dyDescent="0.25">
      <c r="B11" s="120" t="s">
        <v>250</v>
      </c>
      <c r="C11" s="122">
        <v>0.8</v>
      </c>
    </row>
    <row r="12" spans="2:7" x14ac:dyDescent="0.25">
      <c r="B12" s="120" t="s">
        <v>251</v>
      </c>
      <c r="C12" s="123">
        <v>0.76484399999999997</v>
      </c>
    </row>
    <row r="13" spans="2:7" x14ac:dyDescent="0.25">
      <c r="B13" s="110" t="s">
        <v>229</v>
      </c>
      <c r="C13" s="117">
        <f>C6-C8</f>
        <v>228.5447300538533</v>
      </c>
    </row>
    <row r="14" spans="2:7" x14ac:dyDescent="0.25">
      <c r="B14" s="110" t="s">
        <v>230</v>
      </c>
      <c r="C14" s="117">
        <f>C13/1.2</f>
        <v>190.45394171154442</v>
      </c>
    </row>
    <row r="15" spans="2:7" x14ac:dyDescent="0.25">
      <c r="B15" s="110" t="s">
        <v>252</v>
      </c>
      <c r="C15" s="111">
        <v>25</v>
      </c>
    </row>
    <row r="16" spans="2:7" x14ac:dyDescent="0.25">
      <c r="B16" s="110" t="s">
        <v>253</v>
      </c>
      <c r="C16" s="113">
        <v>0.7</v>
      </c>
    </row>
    <row r="17" spans="2:9" x14ac:dyDescent="0.25">
      <c r="B17" s="110" t="s">
        <v>254</v>
      </c>
      <c r="C17" s="115">
        <v>58.89432</v>
      </c>
    </row>
    <row r="18" spans="2:9" x14ac:dyDescent="0.25">
      <c r="B18" s="124" t="s">
        <v>231</v>
      </c>
      <c r="C18" s="125">
        <f>C2-(C8*C12+C13*C17)/3600</f>
        <v>16.621279248526317</v>
      </c>
      <c r="H18" s="22"/>
      <c r="I18" s="22"/>
    </row>
    <row r="19" spans="2:9" x14ac:dyDescent="0.25">
      <c r="F19" s="103"/>
      <c r="G19" s="103"/>
      <c r="H19" s="22"/>
      <c r="I19" s="22"/>
    </row>
    <row r="20" spans="2:9" x14ac:dyDescent="0.25">
      <c r="F20" s="22"/>
      <c r="G20" s="22"/>
      <c r="H20" s="22"/>
      <c r="I20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2"/>
  <sheetViews>
    <sheetView zoomScale="70" zoomScaleNormal="70" workbookViewId="0">
      <selection activeCell="K12" sqref="K12"/>
    </sheetView>
  </sheetViews>
  <sheetFormatPr baseColWidth="10" defaultRowHeight="15" x14ac:dyDescent="0.25"/>
  <cols>
    <col min="2" max="2" width="5.7109375" style="76" bestFit="1" customWidth="1"/>
    <col min="3" max="3" width="21.42578125" bestFit="1" customWidth="1"/>
    <col min="4" max="4" width="17.28515625" bestFit="1" customWidth="1"/>
    <col min="5" max="5" width="16.42578125" bestFit="1" customWidth="1"/>
    <col min="6" max="6" width="17.140625" bestFit="1" customWidth="1"/>
    <col min="7" max="7" width="21.42578125" bestFit="1" customWidth="1"/>
    <col min="8" max="8" width="22.85546875" bestFit="1" customWidth="1"/>
    <col min="9" max="9" width="15" bestFit="1" customWidth="1"/>
    <col min="10" max="10" width="21.42578125" style="1" bestFit="1" customWidth="1"/>
    <col min="11" max="11" width="32.28515625" customWidth="1"/>
    <col min="12" max="12" width="13.7109375" style="1" bestFit="1" customWidth="1"/>
    <col min="13" max="13" width="8.85546875" bestFit="1" customWidth="1"/>
    <col min="14" max="14" width="13.7109375" style="1" bestFit="1" customWidth="1"/>
    <col min="15" max="15" width="13.42578125" bestFit="1" customWidth="1"/>
    <col min="16" max="16" width="13.7109375" bestFit="1" customWidth="1"/>
    <col min="17" max="17" width="9" bestFit="1" customWidth="1"/>
    <col min="18" max="18" width="13.7109375" bestFit="1" customWidth="1"/>
  </cols>
  <sheetData>
    <row r="1" spans="2:14" s="141" customFormat="1" ht="15.75" thickBot="1" x14ac:dyDescent="0.3">
      <c r="B1" s="76"/>
      <c r="J1" s="1"/>
      <c r="L1" s="1"/>
      <c r="N1" s="1"/>
    </row>
    <row r="2" spans="2:14" ht="15.75" thickBot="1" x14ac:dyDescent="0.3">
      <c r="G2" s="55" t="s">
        <v>137</v>
      </c>
      <c r="H2" s="56">
        <v>1.19</v>
      </c>
    </row>
    <row r="3" spans="2:14" x14ac:dyDescent="0.25">
      <c r="C3" s="162" t="s">
        <v>96</v>
      </c>
      <c r="D3" s="162"/>
      <c r="E3" s="162"/>
      <c r="F3" s="162"/>
      <c r="G3" s="163"/>
    </row>
    <row r="4" spans="2:14" x14ac:dyDescent="0.25">
      <c r="B4" s="84" t="s">
        <v>171</v>
      </c>
      <c r="C4" s="21" t="s">
        <v>0</v>
      </c>
      <c r="D4" s="31" t="s">
        <v>60</v>
      </c>
      <c r="E4" s="31" t="s">
        <v>61</v>
      </c>
      <c r="F4" s="31" t="s">
        <v>62</v>
      </c>
      <c r="G4" s="33" t="s">
        <v>108</v>
      </c>
      <c r="H4" s="3" t="s">
        <v>133</v>
      </c>
      <c r="J4" s="177" t="s">
        <v>407</v>
      </c>
      <c r="K4" s="177"/>
      <c r="L4" s="158" t="s">
        <v>172</v>
      </c>
      <c r="N4"/>
    </row>
    <row r="5" spans="2:14" x14ac:dyDescent="0.25">
      <c r="B5" s="84" t="s">
        <v>152</v>
      </c>
      <c r="C5" s="36" t="s">
        <v>5</v>
      </c>
      <c r="D5" s="42">
        <f>'Sala AL1-AL2-AL3-AL4'!G13</f>
        <v>2043.707555</v>
      </c>
      <c r="E5" s="42">
        <f>'Sala AL1-AL2-AL3-AL4'!F16</f>
        <v>569.59527711874523</v>
      </c>
      <c r="F5" s="42">
        <f>'Sala AL1-AL2-AL3-AL4'!E20</f>
        <v>4463.1277373555577</v>
      </c>
      <c r="G5" s="42">
        <f>(F5+E5+D5)</f>
        <v>7076.4305694743025</v>
      </c>
      <c r="H5" s="42">
        <f>G5*H2</f>
        <v>8420.952377674419</v>
      </c>
      <c r="J5" s="176" t="s">
        <v>406</v>
      </c>
      <c r="K5" s="176"/>
      <c r="L5" s="8">
        <f>D50+D79</f>
        <v>328.94721551818418</v>
      </c>
      <c r="N5"/>
    </row>
    <row r="6" spans="2:14" x14ac:dyDescent="0.25">
      <c r="B6" s="84" t="s">
        <v>152</v>
      </c>
      <c r="C6" s="36" t="s">
        <v>6</v>
      </c>
      <c r="D6" s="42">
        <f>D5</f>
        <v>2043.707555</v>
      </c>
      <c r="E6" s="42">
        <f t="shared" ref="E6:F8" si="0">E5</f>
        <v>569.59527711874523</v>
      </c>
      <c r="F6" s="42">
        <f t="shared" si="0"/>
        <v>4463.1277373555577</v>
      </c>
      <c r="G6" s="42">
        <f t="shared" ref="G6:G44" si="1">(F6+E6+D6)</f>
        <v>7076.4305694743025</v>
      </c>
      <c r="H6" s="42">
        <f>G6*H2</f>
        <v>8420.952377674419</v>
      </c>
      <c r="J6" s="176" t="s">
        <v>405</v>
      </c>
      <c r="K6" s="176"/>
      <c r="L6" s="8">
        <f>D85</f>
        <v>13.699465200000001</v>
      </c>
      <c r="N6"/>
    </row>
    <row r="7" spans="2:14" x14ac:dyDescent="0.25">
      <c r="B7" s="84" t="s">
        <v>152</v>
      </c>
      <c r="C7" s="36" t="s">
        <v>8</v>
      </c>
      <c r="D7" s="42">
        <f>D6</f>
        <v>2043.707555</v>
      </c>
      <c r="E7" s="42">
        <f t="shared" si="0"/>
        <v>569.59527711874523</v>
      </c>
      <c r="F7" s="42">
        <f t="shared" si="0"/>
        <v>4463.1277373555577</v>
      </c>
      <c r="G7" s="42">
        <f t="shared" si="1"/>
        <v>7076.4305694743025</v>
      </c>
      <c r="H7" s="42">
        <f>G7*H2</f>
        <v>8420.952377674419</v>
      </c>
    </row>
    <row r="8" spans="2:14" x14ac:dyDescent="0.25">
      <c r="B8" s="84" t="s">
        <v>152</v>
      </c>
      <c r="C8" s="36" t="s">
        <v>7</v>
      </c>
      <c r="D8" s="42">
        <f>D7</f>
        <v>2043.707555</v>
      </c>
      <c r="E8" s="42">
        <f t="shared" si="0"/>
        <v>569.59527711874523</v>
      </c>
      <c r="F8" s="42">
        <f t="shared" si="0"/>
        <v>4463.1277373555577</v>
      </c>
      <c r="G8" s="42">
        <f t="shared" si="1"/>
        <v>7076.4305694743025</v>
      </c>
      <c r="H8" s="42">
        <f>G8*H2</f>
        <v>8420.952377674419</v>
      </c>
      <c r="N8"/>
    </row>
    <row r="9" spans="2:14" x14ac:dyDescent="0.25">
      <c r="B9" s="84" t="s">
        <v>152</v>
      </c>
      <c r="C9" s="37" t="s">
        <v>9</v>
      </c>
      <c r="D9" s="42">
        <f>'Sala AL5-AL6'!G13</f>
        <v>2176.4735651999999</v>
      </c>
      <c r="E9" s="42">
        <f>'Sala AL1-AL2-AL3-AL4'!F16</f>
        <v>569.59527711874523</v>
      </c>
      <c r="F9" s="42">
        <f>'Sala AL5-AL6'!E20</f>
        <v>4477.3212728214021</v>
      </c>
      <c r="G9" s="42">
        <f t="shared" si="1"/>
        <v>7223.3901151401469</v>
      </c>
      <c r="H9" s="42">
        <f>G9*H2</f>
        <v>8595.8342370167738</v>
      </c>
      <c r="N9"/>
    </row>
    <row r="10" spans="2:14" x14ac:dyDescent="0.25">
      <c r="B10" s="84" t="s">
        <v>152</v>
      </c>
      <c r="C10" s="37" t="s">
        <v>10</v>
      </c>
      <c r="D10" s="42">
        <f>D9</f>
        <v>2176.4735651999999</v>
      </c>
      <c r="E10" s="42">
        <f>E9</f>
        <v>569.59527711874523</v>
      </c>
      <c r="F10" s="42">
        <f>F9</f>
        <v>4477.3212728214021</v>
      </c>
      <c r="G10" s="42">
        <f t="shared" si="1"/>
        <v>7223.3901151401469</v>
      </c>
      <c r="H10" s="42">
        <f>G10*H2</f>
        <v>8595.8342370167738</v>
      </c>
      <c r="I10" s="129"/>
      <c r="J10" s="22"/>
      <c r="K10" s="129"/>
      <c r="L10"/>
      <c r="N10"/>
    </row>
    <row r="11" spans="2:14" x14ac:dyDescent="0.25">
      <c r="B11" s="84" t="s">
        <v>152</v>
      </c>
      <c r="C11" s="37" t="s">
        <v>1</v>
      </c>
      <c r="D11" s="42">
        <f>'Sala AL7-AL8-AL9-AL10'!G13</f>
        <v>2352.7085550000002</v>
      </c>
      <c r="E11" s="42">
        <f>'Sala AL7-AL8-AL9-AL10'!F16</f>
        <v>569.59527711874523</v>
      </c>
      <c r="F11" s="42">
        <f>'Sala AL7-AL8-AL9-AL10'!E20</f>
        <v>4463.1277373555577</v>
      </c>
      <c r="G11" s="42">
        <f t="shared" si="1"/>
        <v>7385.4315694743027</v>
      </c>
      <c r="H11" s="42">
        <f>G11*H2</f>
        <v>8788.663567674419</v>
      </c>
      <c r="I11" s="22"/>
      <c r="J11" s="22"/>
      <c r="K11" s="22"/>
      <c r="L11"/>
      <c r="N11"/>
    </row>
    <row r="12" spans="2:14" x14ac:dyDescent="0.25">
      <c r="B12" s="84" t="s">
        <v>152</v>
      </c>
      <c r="C12" s="37" t="s">
        <v>2</v>
      </c>
      <c r="D12" s="42">
        <f t="shared" ref="D12:F14" si="2">D11</f>
        <v>2352.7085550000002</v>
      </c>
      <c r="E12" s="42">
        <f t="shared" si="2"/>
        <v>569.59527711874523</v>
      </c>
      <c r="F12" s="42">
        <f t="shared" si="2"/>
        <v>4463.1277373555577</v>
      </c>
      <c r="G12" s="42">
        <f t="shared" si="1"/>
        <v>7385.4315694743027</v>
      </c>
      <c r="H12" s="42">
        <f>G12*H2</f>
        <v>8788.663567674419</v>
      </c>
      <c r="I12" s="22"/>
      <c r="J12" s="22"/>
      <c r="K12" s="22"/>
      <c r="L12"/>
      <c r="N12"/>
    </row>
    <row r="13" spans="2:14" x14ac:dyDescent="0.25">
      <c r="B13" s="84" t="s">
        <v>152</v>
      </c>
      <c r="C13" s="37" t="s">
        <v>3</v>
      </c>
      <c r="D13" s="42">
        <f t="shared" si="2"/>
        <v>2352.7085550000002</v>
      </c>
      <c r="E13" s="42">
        <f t="shared" si="2"/>
        <v>569.59527711874523</v>
      </c>
      <c r="F13" s="42">
        <f t="shared" si="2"/>
        <v>4463.1277373555577</v>
      </c>
      <c r="G13" s="42">
        <f t="shared" si="1"/>
        <v>7385.4315694743027</v>
      </c>
      <c r="H13" s="42">
        <f>G13*H2</f>
        <v>8788.663567674419</v>
      </c>
      <c r="I13" s="22"/>
      <c r="J13" s="22"/>
      <c r="K13" s="22"/>
      <c r="L13"/>
      <c r="N13"/>
    </row>
    <row r="14" spans="2:14" x14ac:dyDescent="0.25">
      <c r="B14" s="84" t="s">
        <v>152</v>
      </c>
      <c r="C14" s="37" t="s">
        <v>4</v>
      </c>
      <c r="D14" s="42">
        <f t="shared" si="2"/>
        <v>2352.7085550000002</v>
      </c>
      <c r="E14" s="42">
        <f t="shared" si="2"/>
        <v>569.59527711874523</v>
      </c>
      <c r="F14" s="42">
        <f t="shared" si="2"/>
        <v>4463.1277373555577</v>
      </c>
      <c r="G14" s="42">
        <f t="shared" si="1"/>
        <v>7385.4315694743027</v>
      </c>
      <c r="H14" s="42">
        <f>G14*H2</f>
        <v>8788.663567674419</v>
      </c>
      <c r="I14" s="22"/>
      <c r="J14" s="22"/>
      <c r="K14" s="22"/>
      <c r="L14"/>
      <c r="N14"/>
    </row>
    <row r="15" spans="2:14" x14ac:dyDescent="0.25">
      <c r="B15" s="84" t="s">
        <v>152</v>
      </c>
      <c r="C15" s="37" t="s">
        <v>19</v>
      </c>
      <c r="D15" s="42">
        <f>'Sala ABRM1-ABRM2'!G13</f>
        <v>2004.4322550000002</v>
      </c>
      <c r="E15" s="42">
        <f>'Sala ABRM1-ABRM2'!F16</f>
        <v>484.88576712087905</v>
      </c>
      <c r="F15" s="42">
        <f>'Sala ABRM1-ABRM2'!E20</f>
        <v>4234.4120603613183</v>
      </c>
      <c r="G15" s="42">
        <f t="shared" si="1"/>
        <v>6723.7300824821978</v>
      </c>
      <c r="H15" s="42">
        <f>G15*H2</f>
        <v>8001.238798153815</v>
      </c>
      <c r="I15" s="129"/>
      <c r="J15" s="22"/>
      <c r="K15" s="22"/>
      <c r="L15"/>
      <c r="N15"/>
    </row>
    <row r="16" spans="2:14" x14ac:dyDescent="0.25">
      <c r="B16" s="84" t="s">
        <v>152</v>
      </c>
      <c r="C16" s="37" t="s">
        <v>20</v>
      </c>
      <c r="D16" s="42">
        <f>D15</f>
        <v>2004.4322550000002</v>
      </c>
      <c r="E16" s="42">
        <f>E15</f>
        <v>484.88576712087905</v>
      </c>
      <c r="F16" s="42">
        <f>F15</f>
        <v>4234.4120603613183</v>
      </c>
      <c r="G16" s="42">
        <f t="shared" si="1"/>
        <v>6723.7300824821978</v>
      </c>
      <c r="H16" s="42">
        <f>G16*H2</f>
        <v>8001.238798153815</v>
      </c>
      <c r="J16"/>
      <c r="L16"/>
      <c r="N16"/>
    </row>
    <row r="17" spans="2:14" x14ac:dyDescent="0.25">
      <c r="B17" s="84" t="s">
        <v>152</v>
      </c>
      <c r="C17" s="37" t="s">
        <v>18</v>
      </c>
      <c r="D17" s="42">
        <f>'Sala ABRM3-ABRM4-ABRM5-ABRM6'!H13</f>
        <v>2010.1450152000002</v>
      </c>
      <c r="E17" s="42">
        <f>'Sala ABRM3-ABRM4-ABRM5-ABRM6'!G16</f>
        <v>489.22850070537407</v>
      </c>
      <c r="F17" s="42">
        <f>'Sala ABRM3-ABRM4-ABRM5-ABRM6'!F20</f>
        <v>4246.1374410394556</v>
      </c>
      <c r="G17" s="42">
        <f t="shared" si="1"/>
        <v>6745.5109569448305</v>
      </c>
      <c r="H17" s="42">
        <f>G17*H2</f>
        <v>8027.158038764348</v>
      </c>
      <c r="J17"/>
      <c r="L17"/>
      <c r="N17"/>
    </row>
    <row r="18" spans="2:14" x14ac:dyDescent="0.25">
      <c r="B18" s="84" t="s">
        <v>152</v>
      </c>
      <c r="C18" s="37" t="s">
        <v>17</v>
      </c>
      <c r="D18" s="42">
        <f>D17</f>
        <v>2010.1450152000002</v>
      </c>
      <c r="E18" s="42">
        <f t="shared" ref="E18:F20" si="3">E17</f>
        <v>489.22850070537407</v>
      </c>
      <c r="F18" s="42">
        <f t="shared" si="3"/>
        <v>4246.1374410394556</v>
      </c>
      <c r="G18" s="42">
        <f t="shared" si="1"/>
        <v>6745.5109569448305</v>
      </c>
      <c r="H18" s="42">
        <f>G18*H2</f>
        <v>8027.158038764348</v>
      </c>
      <c r="J18"/>
      <c r="L18"/>
      <c r="N18"/>
    </row>
    <row r="19" spans="2:14" x14ac:dyDescent="0.25">
      <c r="B19" s="84" t="s">
        <v>152</v>
      </c>
      <c r="C19" s="37" t="s">
        <v>16</v>
      </c>
      <c r="D19" s="42">
        <f>D18</f>
        <v>2010.1450152000002</v>
      </c>
      <c r="E19" s="42">
        <f t="shared" si="3"/>
        <v>489.22850070537407</v>
      </c>
      <c r="F19" s="42">
        <f t="shared" si="3"/>
        <v>4246.1374410394556</v>
      </c>
      <c r="G19" s="42">
        <f t="shared" si="1"/>
        <v>6745.5109569448305</v>
      </c>
      <c r="H19" s="42">
        <f>G19*H2</f>
        <v>8027.158038764348</v>
      </c>
      <c r="J19"/>
      <c r="L19"/>
      <c r="N19"/>
    </row>
    <row r="20" spans="2:14" x14ac:dyDescent="0.25">
      <c r="B20" s="84" t="s">
        <v>152</v>
      </c>
      <c r="C20" s="37" t="s">
        <v>15</v>
      </c>
      <c r="D20" s="42">
        <f>D19</f>
        <v>2010.1450152000002</v>
      </c>
      <c r="E20" s="42">
        <f t="shared" si="3"/>
        <v>489.22850070537407</v>
      </c>
      <c r="F20" s="42">
        <f>F19</f>
        <v>4246.1374410394556</v>
      </c>
      <c r="G20" s="42">
        <f t="shared" si="1"/>
        <v>6745.5109569448305</v>
      </c>
      <c r="H20" s="42">
        <f>G20*H2</f>
        <v>8027.158038764348</v>
      </c>
      <c r="N20"/>
    </row>
    <row r="21" spans="2:14" x14ac:dyDescent="0.25">
      <c r="B21" s="84" t="s">
        <v>152</v>
      </c>
      <c r="C21" s="37" t="s">
        <v>14</v>
      </c>
      <c r="D21" s="42">
        <f>'Sala ABRM7-ABRM8'!G13</f>
        <v>2210.0012550000001</v>
      </c>
      <c r="E21" s="42">
        <f>'Sala ABRM7-ABRM8'!F16</f>
        <v>484.88576712087905</v>
      </c>
      <c r="F21" s="42">
        <f>'Sala ABRM7-ABRM8'!E20</f>
        <v>4234.4120603613183</v>
      </c>
      <c r="G21" s="42">
        <f t="shared" si="1"/>
        <v>6929.2990824821973</v>
      </c>
      <c r="H21" s="42">
        <f>G21*H2</f>
        <v>8245.8659081538135</v>
      </c>
      <c r="N21"/>
    </row>
    <row r="22" spans="2:14" x14ac:dyDescent="0.25">
      <c r="B22" s="84" t="s">
        <v>152</v>
      </c>
      <c r="C22" s="37" t="s">
        <v>13</v>
      </c>
      <c r="D22" s="42">
        <f>D21</f>
        <v>2210.0012550000001</v>
      </c>
      <c r="E22" s="42">
        <f>E21</f>
        <v>484.88576712087905</v>
      </c>
      <c r="F22" s="42">
        <f>F21</f>
        <v>4234.4120603613183</v>
      </c>
      <c r="G22" s="42">
        <f t="shared" si="1"/>
        <v>6929.2990824821973</v>
      </c>
      <c r="H22" s="42">
        <f>G22*H2</f>
        <v>8245.8659081538135</v>
      </c>
      <c r="N22"/>
    </row>
    <row r="23" spans="2:14" x14ac:dyDescent="0.25">
      <c r="B23" s="84" t="s">
        <v>152</v>
      </c>
      <c r="C23" s="37" t="s">
        <v>21</v>
      </c>
      <c r="D23" s="42">
        <f>'Sala COPE'!G13</f>
        <v>1814.7303299999999</v>
      </c>
      <c r="E23" s="42">
        <f>'Sala COPE'!F16</f>
        <v>516.72801098698346</v>
      </c>
      <c r="F23" s="42">
        <f>'Sala COPE'!E20</f>
        <v>3896.2291478752336</v>
      </c>
      <c r="G23" s="42">
        <f t="shared" si="1"/>
        <v>6227.6874888622169</v>
      </c>
      <c r="H23" s="42">
        <f>G23*H2</f>
        <v>7410.9481117460382</v>
      </c>
      <c r="N23"/>
    </row>
    <row r="24" spans="2:14" x14ac:dyDescent="0.25">
      <c r="B24" s="84" t="s">
        <v>152</v>
      </c>
      <c r="C24" s="37" t="s">
        <v>22</v>
      </c>
      <c r="D24" s="42">
        <f>'Sala COM-SP'!G13</f>
        <v>3006.28611</v>
      </c>
      <c r="E24" s="42">
        <f>'Sala COM-SP'!F16</f>
        <v>1081.0517970159333</v>
      </c>
      <c r="F24" s="42">
        <f>'Sala COM-SP'!E20</f>
        <v>10422.030406574157</v>
      </c>
      <c r="G24" s="42">
        <f t="shared" si="1"/>
        <v>14509.36831359009</v>
      </c>
      <c r="H24" s="42">
        <f>G24*H2</f>
        <v>17266.148293172206</v>
      </c>
      <c r="N24"/>
    </row>
    <row r="25" spans="2:14" x14ac:dyDescent="0.25">
      <c r="B25" s="84" t="s">
        <v>152</v>
      </c>
      <c r="C25" s="37" t="s">
        <v>23</v>
      </c>
      <c r="D25" s="42">
        <f>D24</f>
        <v>3006.28611</v>
      </c>
      <c r="E25" s="42">
        <f>E24</f>
        <v>1081.0517970159333</v>
      </c>
      <c r="F25" s="42">
        <f>'Sala COM-SP'!E24</f>
        <v>8710.4656157532409</v>
      </c>
      <c r="G25" s="42">
        <f t="shared" si="1"/>
        <v>12797.803522769173</v>
      </c>
      <c r="H25" s="42">
        <f>G25*H2</f>
        <v>15229.386192095315</v>
      </c>
      <c r="N25"/>
    </row>
    <row r="26" spans="2:14" x14ac:dyDescent="0.25">
      <c r="B26" s="84" t="s">
        <v>152</v>
      </c>
      <c r="C26" s="37" t="s">
        <v>24</v>
      </c>
      <c r="D26" s="42">
        <f>'Sala AESM'!G13</f>
        <v>3827.9615100000001</v>
      </c>
      <c r="E26" s="42">
        <f>'Sala AESM'!F16</f>
        <v>994.51402421235798</v>
      </c>
      <c r="F26" s="42">
        <f>'Sala AESM'!E20</f>
        <v>5282.8933554935411</v>
      </c>
      <c r="G26" s="42">
        <f t="shared" si="1"/>
        <v>10105.3688897059</v>
      </c>
      <c r="H26" s="42">
        <f>G26*H2</f>
        <v>12025.388978750021</v>
      </c>
      <c r="N26"/>
    </row>
    <row r="27" spans="2:14" x14ac:dyDescent="0.25">
      <c r="B27" s="84" t="s">
        <v>152</v>
      </c>
      <c r="C27" s="37" t="s">
        <v>109</v>
      </c>
      <c r="D27" s="42">
        <f>'Sala SC1-SC2'!G13</f>
        <v>1421.2958100000001</v>
      </c>
      <c r="E27" s="42">
        <f>'Sala SC1-SC2'!F16</f>
        <v>187.84865748895731</v>
      </c>
      <c r="F27" s="42">
        <f>'Sala SC1-SC2'!E20</f>
        <v>3443.2404725046308</v>
      </c>
      <c r="G27" s="42">
        <f t="shared" si="1"/>
        <v>5052.384939993588</v>
      </c>
      <c r="H27" s="42">
        <f>G27*H2</f>
        <v>6012.3380785923691</v>
      </c>
      <c r="N27"/>
    </row>
    <row r="28" spans="2:14" x14ac:dyDescent="0.25">
      <c r="B28" s="84" t="s">
        <v>152</v>
      </c>
      <c r="C28" s="37" t="s">
        <v>110</v>
      </c>
      <c r="D28" s="42">
        <f>D27</f>
        <v>1421.2958100000001</v>
      </c>
      <c r="E28" s="42">
        <f>E27</f>
        <v>187.84865748895731</v>
      </c>
      <c r="F28" s="42">
        <f>F27</f>
        <v>3443.2404725046308</v>
      </c>
      <c r="G28" s="42">
        <f t="shared" si="1"/>
        <v>5052.384939993588</v>
      </c>
      <c r="H28" s="42">
        <f>G28*H2</f>
        <v>6012.3380785923691</v>
      </c>
      <c r="N28"/>
    </row>
    <row r="29" spans="2:14" x14ac:dyDescent="0.25">
      <c r="B29" s="84" t="s">
        <v>152</v>
      </c>
      <c r="C29" s="37" t="s">
        <v>81</v>
      </c>
      <c r="D29" s="42">
        <f>'Sala BP1-BP2-BP3-BP4'!G13</f>
        <v>777.20123760000001</v>
      </c>
      <c r="E29" s="42">
        <f>'Sala BP1-BP2-BP3-BP4'!F16</f>
        <v>169.43364609817795</v>
      </c>
      <c r="F29" s="42">
        <f>'Sala BP1-BP2-BP3-BP4'!E20</f>
        <v>243.90342177382723</v>
      </c>
      <c r="G29" s="42">
        <f t="shared" si="1"/>
        <v>1190.538305472005</v>
      </c>
      <c r="H29" s="42">
        <f>G29*H2</f>
        <v>1416.7405835116861</v>
      </c>
      <c r="N29"/>
    </row>
    <row r="30" spans="2:14" x14ac:dyDescent="0.25">
      <c r="B30" s="84" t="s">
        <v>152</v>
      </c>
      <c r="C30" s="37" t="s">
        <v>82</v>
      </c>
      <c r="D30" s="42">
        <f>D29</f>
        <v>777.20123760000001</v>
      </c>
      <c r="E30" s="42">
        <f t="shared" ref="E30:F32" si="4">E29</f>
        <v>169.43364609817795</v>
      </c>
      <c r="F30" s="42">
        <f>F29</f>
        <v>243.90342177382723</v>
      </c>
      <c r="G30" s="42">
        <f t="shared" si="1"/>
        <v>1190.538305472005</v>
      </c>
      <c r="H30" s="42">
        <f>G30*H2</f>
        <v>1416.7405835116861</v>
      </c>
      <c r="N30"/>
    </row>
    <row r="31" spans="2:14" x14ac:dyDescent="0.25">
      <c r="B31" s="84" t="s">
        <v>152</v>
      </c>
      <c r="C31" s="37" t="s">
        <v>83</v>
      </c>
      <c r="D31" s="42">
        <f>D30</f>
        <v>777.20123760000001</v>
      </c>
      <c r="E31" s="42">
        <f t="shared" si="4"/>
        <v>169.43364609817795</v>
      </c>
      <c r="F31" s="42">
        <f t="shared" si="4"/>
        <v>243.90342177382723</v>
      </c>
      <c r="G31" s="42">
        <f t="shared" si="1"/>
        <v>1190.538305472005</v>
      </c>
      <c r="H31" s="42">
        <f>G31*H2</f>
        <v>1416.7405835116861</v>
      </c>
      <c r="N31"/>
    </row>
    <row r="32" spans="2:14" x14ac:dyDescent="0.25">
      <c r="B32" s="84" t="s">
        <v>152</v>
      </c>
      <c r="C32" s="143">
        <f>SUM('INFORME GENERAL'!G15:G22,'INFORME GENERAL'!G72)</f>
        <v>59238.315204943006</v>
      </c>
      <c r="D32" s="42">
        <f>D31</f>
        <v>777.20123760000001</v>
      </c>
      <c r="E32" s="42">
        <f t="shared" si="4"/>
        <v>169.43364609817795</v>
      </c>
      <c r="F32" s="42">
        <f t="shared" si="4"/>
        <v>243.90342177382723</v>
      </c>
      <c r="G32" s="42">
        <f t="shared" si="1"/>
        <v>1190.538305472005</v>
      </c>
      <c r="H32" s="42">
        <f>G32*H2</f>
        <v>1416.7405835116861</v>
      </c>
      <c r="N32"/>
    </row>
    <row r="33" spans="2:14" x14ac:dyDescent="0.25">
      <c r="B33" s="84" t="s">
        <v>152</v>
      </c>
      <c r="C33" s="37" t="s">
        <v>85</v>
      </c>
      <c r="D33" s="42">
        <f>'Sala DMD-APA1-APA2'!G13</f>
        <v>768.64455000000021</v>
      </c>
      <c r="E33" s="42">
        <f>'Sala DMD-APA1-APA2'!F16</f>
        <v>147.17515585960197</v>
      </c>
      <c r="F33" s="42">
        <f>'Sala DMD-APA1-APA2'!E20</f>
        <v>406.69706113004287</v>
      </c>
      <c r="G33" s="42">
        <f>(F33+E33+D33)</f>
        <v>1322.516766989645</v>
      </c>
      <c r="H33" s="42">
        <f>G33*H2</f>
        <v>1573.7949527176775</v>
      </c>
      <c r="I33" s="1"/>
      <c r="J33"/>
      <c r="K33" s="1"/>
      <c r="L33"/>
      <c r="N33"/>
    </row>
    <row r="34" spans="2:14" x14ac:dyDescent="0.25">
      <c r="B34" s="84" t="s">
        <v>152</v>
      </c>
      <c r="C34" s="37" t="s">
        <v>86</v>
      </c>
      <c r="D34" s="42">
        <v>968.37143636363646</v>
      </c>
      <c r="E34" s="42">
        <v>336.28399151243087</v>
      </c>
      <c r="F34" s="42">
        <v>464.63586280708228</v>
      </c>
      <c r="G34" s="42">
        <v>1769.2912906831498</v>
      </c>
      <c r="H34" s="42">
        <v>2105.4566359129481</v>
      </c>
      <c r="I34" s="1"/>
      <c r="J34"/>
      <c r="K34" s="1"/>
      <c r="L34"/>
      <c r="N34"/>
    </row>
    <row r="35" spans="2:14" x14ac:dyDescent="0.25">
      <c r="B35" s="85" t="s">
        <v>157</v>
      </c>
      <c r="C35" s="37" t="s">
        <v>27</v>
      </c>
      <c r="D35" s="42">
        <f>'Sala RECEP-SEC'!G13</f>
        <v>1091.9874173999999</v>
      </c>
      <c r="E35" s="42">
        <f>'Sala RECEP-SEC'!F16</f>
        <v>377.18646176215321</v>
      </c>
      <c r="F35" s="42">
        <f>'Sala RECEP-SEC'!E20</f>
        <v>322.82946615420593</v>
      </c>
      <c r="G35" s="42">
        <f t="shared" si="1"/>
        <v>1792.0033453163592</v>
      </c>
      <c r="H35" s="42">
        <f>G35*H2</f>
        <v>2132.4839809264672</v>
      </c>
      <c r="I35" s="1"/>
      <c r="J35"/>
      <c r="K35" s="1"/>
      <c r="L35"/>
      <c r="N35"/>
    </row>
    <row r="36" spans="2:14" x14ac:dyDescent="0.25">
      <c r="B36" s="85" t="s">
        <v>152</v>
      </c>
      <c r="C36" s="37" t="s">
        <v>28</v>
      </c>
      <c r="D36" s="42">
        <f>'Sala UTP '!G13</f>
        <v>783.60592620000011</v>
      </c>
      <c r="E36" s="42">
        <f>'Sala UTP '!F16</f>
        <v>193.2095944654927</v>
      </c>
      <c r="F36" s="42">
        <f>'Sala UTP '!E20</f>
        <v>448.12805587534461</v>
      </c>
      <c r="G36" s="42">
        <f t="shared" si="1"/>
        <v>1424.9435765408375</v>
      </c>
      <c r="H36" s="42">
        <f>G36*H2</f>
        <v>1695.6828560835966</v>
      </c>
      <c r="L36"/>
      <c r="N36"/>
    </row>
    <row r="37" spans="2:14" x14ac:dyDescent="0.25">
      <c r="B37" s="85" t="s">
        <v>152</v>
      </c>
      <c r="C37" s="37" t="s">
        <v>29</v>
      </c>
      <c r="D37" s="42">
        <f>'Sala DIR'!G13</f>
        <v>781.77019740000014</v>
      </c>
      <c r="E37" s="42">
        <f>'Sala DIR'!F16</f>
        <v>178.63712106211875</v>
      </c>
      <c r="F37" s="42">
        <f>'Sala DIR'!E20</f>
        <v>800.66539095417636</v>
      </c>
      <c r="G37" s="42">
        <f t="shared" si="1"/>
        <v>1761.0727094162953</v>
      </c>
      <c r="H37" s="42">
        <f>G37*H2</f>
        <v>2095.6765242053912</v>
      </c>
      <c r="L37"/>
      <c r="N37"/>
    </row>
    <row r="38" spans="2:14" x14ac:dyDescent="0.25">
      <c r="B38" s="85" t="s">
        <v>152</v>
      </c>
      <c r="C38" s="37" t="s">
        <v>87</v>
      </c>
      <c r="D38" s="42">
        <f>'Sala BP5-CP'!G13</f>
        <v>698.13495000000012</v>
      </c>
      <c r="E38" s="42">
        <f>'Sala BP5-CP'!F16</f>
        <v>147.17515585960197</v>
      </c>
      <c r="F38" s="42">
        <f>'Sala BP5-CP'!E20</f>
        <v>223.87078055910882</v>
      </c>
      <c r="G38" s="42">
        <f t="shared" si="1"/>
        <v>1069.180886418711</v>
      </c>
      <c r="H38" s="42">
        <f>G38*H2</f>
        <v>1272.3252548382661</v>
      </c>
      <c r="I38" s="1"/>
      <c r="J38"/>
      <c r="K38" s="1"/>
      <c r="L38"/>
      <c r="N38"/>
    </row>
    <row r="39" spans="2:14" x14ac:dyDescent="0.25">
      <c r="B39" s="85" t="s">
        <v>152</v>
      </c>
      <c r="C39" s="37" t="s">
        <v>30</v>
      </c>
      <c r="D39" s="42">
        <f>D38</f>
        <v>698.13495000000012</v>
      </c>
      <c r="E39" s="42">
        <f>E38</f>
        <v>147.17515585960197</v>
      </c>
      <c r="F39" s="42">
        <f>'Sala BP5-CP'!E24</f>
        <v>1046.5890431283124</v>
      </c>
      <c r="G39" s="42">
        <f t="shared" si="1"/>
        <v>1891.8991489879145</v>
      </c>
      <c r="H39" s="42">
        <f>G39*H2</f>
        <v>2251.3599872956183</v>
      </c>
      <c r="I39" s="1"/>
      <c r="J39"/>
      <c r="K39" s="1"/>
      <c r="L39"/>
      <c r="N39"/>
    </row>
    <row r="40" spans="2:14" x14ac:dyDescent="0.25">
      <c r="B40" s="85" t="s">
        <v>152</v>
      </c>
      <c r="C40" s="37" t="s">
        <v>31</v>
      </c>
      <c r="D40" s="42">
        <f>'Sala PA'!G13</f>
        <v>585.76365120000003</v>
      </c>
      <c r="E40" s="42">
        <f>'Sala PA'!F16</f>
        <v>145.94900093790619</v>
      </c>
      <c r="F40" s="42">
        <f>'Sala PA'!E20</f>
        <v>576.88858310328089</v>
      </c>
      <c r="G40" s="42">
        <f t="shared" si="1"/>
        <v>1308.6012352411872</v>
      </c>
      <c r="H40" s="42">
        <f>G40*H2</f>
        <v>1557.2354699370126</v>
      </c>
      <c r="I40" s="1"/>
      <c r="J40"/>
      <c r="K40" s="1"/>
      <c r="L40"/>
      <c r="N40"/>
    </row>
    <row r="41" spans="2:14" x14ac:dyDescent="0.25">
      <c r="B41" s="85" t="s">
        <v>152</v>
      </c>
      <c r="C41" s="37" t="s">
        <v>32</v>
      </c>
      <c r="D41" s="42">
        <f>'Sala AET-A1-A2-A3'!G13</f>
        <v>1854.5529323999999</v>
      </c>
      <c r="E41" s="42">
        <f>'Sala AET-A1-A2-A3'!F16</f>
        <v>574.85214210609479</v>
      </c>
      <c r="F41" s="42">
        <f>'Sala AET-A1-A2-A3'!E20</f>
        <v>4477.3212728214021</v>
      </c>
      <c r="G41" s="42">
        <f t="shared" si="1"/>
        <v>6906.726347327497</v>
      </c>
      <c r="H41" s="42">
        <f>G41*H2</f>
        <v>8219.0043533197204</v>
      </c>
      <c r="I41" s="1"/>
      <c r="J41"/>
      <c r="K41" s="1"/>
      <c r="L41"/>
      <c r="N41"/>
    </row>
    <row r="42" spans="2:14" x14ac:dyDescent="0.25">
      <c r="B42" s="85" t="s">
        <v>152</v>
      </c>
      <c r="C42" s="37" t="s">
        <v>33</v>
      </c>
      <c r="D42" s="42">
        <f>D41</f>
        <v>1854.5529323999999</v>
      </c>
      <c r="E42" s="42">
        <f t="shared" ref="E42:F44" si="5">E41</f>
        <v>574.85214210609479</v>
      </c>
      <c r="F42" s="42">
        <f>F41</f>
        <v>4477.3212728214021</v>
      </c>
      <c r="G42" s="42">
        <f t="shared" si="1"/>
        <v>6906.726347327497</v>
      </c>
      <c r="H42" s="42">
        <f>G42*H2</f>
        <v>8219.0043533197204</v>
      </c>
      <c r="I42" s="1"/>
      <c r="J42"/>
      <c r="K42" s="1"/>
      <c r="L42"/>
      <c r="M42" s="1"/>
      <c r="N42"/>
    </row>
    <row r="43" spans="2:14" x14ac:dyDescent="0.25">
      <c r="B43" s="85" t="s">
        <v>152</v>
      </c>
      <c r="C43" s="37" t="s">
        <v>34</v>
      </c>
      <c r="D43" s="42">
        <f>D42</f>
        <v>1854.5529323999999</v>
      </c>
      <c r="E43" s="42">
        <f t="shared" si="5"/>
        <v>574.85214210609479</v>
      </c>
      <c r="F43" s="42">
        <f t="shared" si="5"/>
        <v>4477.3212728214021</v>
      </c>
      <c r="G43" s="42">
        <f t="shared" si="1"/>
        <v>6906.726347327497</v>
      </c>
      <c r="H43" s="42">
        <f>G43*H2</f>
        <v>8219.0043533197204</v>
      </c>
      <c r="I43" s="1"/>
      <c r="J43"/>
      <c r="K43" s="1"/>
      <c r="L43"/>
      <c r="M43" s="1"/>
      <c r="N43"/>
    </row>
    <row r="44" spans="2:14" x14ac:dyDescent="0.25">
      <c r="B44" s="85" t="s">
        <v>152</v>
      </c>
      <c r="C44" s="37" t="s">
        <v>35</v>
      </c>
      <c r="D44" s="42">
        <f>D43</f>
        <v>1854.5529323999999</v>
      </c>
      <c r="E44" s="42">
        <f t="shared" si="5"/>
        <v>574.85214210609479</v>
      </c>
      <c r="F44" s="42">
        <f t="shared" si="5"/>
        <v>4477.3212728214021</v>
      </c>
      <c r="G44" s="42">
        <f t="shared" si="1"/>
        <v>6906.726347327497</v>
      </c>
      <c r="H44" s="42">
        <f>G44*H2</f>
        <v>8219.0043533197204</v>
      </c>
      <c r="I44" s="1"/>
      <c r="J44"/>
      <c r="K44" s="1"/>
      <c r="L44"/>
      <c r="M44" s="1"/>
      <c r="N44"/>
    </row>
    <row r="45" spans="2:14" x14ac:dyDescent="0.25">
      <c r="B45" s="85" t="s">
        <v>152</v>
      </c>
      <c r="C45" s="37" t="s">
        <v>38</v>
      </c>
      <c r="D45" s="42">
        <f>'Sala ACP'!G13</f>
        <v>2083.6889070000002</v>
      </c>
      <c r="E45" s="42">
        <f>'Sala ACP'!F16</f>
        <v>551.90988157818356</v>
      </c>
      <c r="F45" s="42">
        <f>'Sala ACP'!E20</f>
        <v>1502.2634365605029</v>
      </c>
      <c r="G45" s="42">
        <f>(F45+E45+D45)</f>
        <v>4137.862225138686</v>
      </c>
      <c r="H45" s="42">
        <f>G45*H2</f>
        <v>4924.0560479150363</v>
      </c>
      <c r="I45" s="1"/>
      <c r="J45"/>
      <c r="K45" s="1"/>
      <c r="L45"/>
      <c r="M45" s="1"/>
      <c r="N45"/>
    </row>
    <row r="46" spans="2:14" x14ac:dyDescent="0.25">
      <c r="B46" s="85" t="s">
        <v>157</v>
      </c>
      <c r="C46" s="37" t="s">
        <v>37</v>
      </c>
      <c r="D46" s="42">
        <f>'Sala PCC '!G13</f>
        <v>11078.517385199997</v>
      </c>
      <c r="E46" s="42">
        <f>'Sala PCC '!F16</f>
        <v>4274.934286607996</v>
      </c>
      <c r="F46" s="42">
        <f>'Sala PCC '!E20</f>
        <v>3847.440857947196</v>
      </c>
      <c r="G46" s="42">
        <f>(F46+E46+D46)</f>
        <v>19200.89252975519</v>
      </c>
      <c r="H46" s="42">
        <f>G46*H2</f>
        <v>22849.062110408675</v>
      </c>
      <c r="I46" s="105"/>
      <c r="J46"/>
      <c r="K46" s="1"/>
      <c r="L46"/>
      <c r="M46" s="1"/>
      <c r="N46"/>
    </row>
    <row r="47" spans="2:14" x14ac:dyDescent="0.25">
      <c r="B47" s="85" t="s">
        <v>152</v>
      </c>
      <c r="C47" s="37" t="s">
        <v>155</v>
      </c>
      <c r="D47" s="8">
        <f>'Sala OD'!G13</f>
        <v>867.59580000000005</v>
      </c>
      <c r="E47" s="8">
        <f>'Sala OD'!F16</f>
        <v>110.91461021303336</v>
      </c>
      <c r="F47" s="8">
        <f>'Sala OD'!E20</f>
        <v>282.64942976266411</v>
      </c>
      <c r="G47" s="42">
        <f>(F47+E47+D47)</f>
        <v>1261.1598399756977</v>
      </c>
      <c r="H47" s="42">
        <f>G47*H2</f>
        <v>1500.7802095710801</v>
      </c>
      <c r="I47" s="1"/>
      <c r="J47"/>
      <c r="K47" s="1"/>
      <c r="L47"/>
      <c r="M47" s="1"/>
      <c r="N47"/>
    </row>
    <row r="48" spans="2:14" x14ac:dyDescent="0.25">
      <c r="B48" s="85" t="s">
        <v>157</v>
      </c>
      <c r="C48" s="37" t="s">
        <v>154</v>
      </c>
      <c r="D48" s="8">
        <f>'Sala AES'!G13</f>
        <v>1617.2252400000002</v>
      </c>
      <c r="E48" s="8">
        <f>'Sala AES'!F16</f>
        <v>392.69160579472748</v>
      </c>
      <c r="F48" s="8">
        <f>'Sala AES'!E20</f>
        <v>113.04758348636092</v>
      </c>
      <c r="G48" s="42">
        <f>(F48+E48+D48)</f>
        <v>2122.9644292810885</v>
      </c>
      <c r="H48" s="42">
        <f>G48*H2</f>
        <v>2526.3276708444951</v>
      </c>
      <c r="I48" s="1"/>
      <c r="J48"/>
      <c r="K48" s="1"/>
      <c r="L48"/>
      <c r="M48" s="1"/>
      <c r="N48"/>
    </row>
    <row r="49" spans="2:14" x14ac:dyDescent="0.25">
      <c r="C49" s="58" t="s">
        <v>88</v>
      </c>
      <c r="D49" s="8">
        <f>SUM(D5:D46)/1000</f>
        <v>82.971550381963638</v>
      </c>
      <c r="E49" s="8">
        <f>SUM(E5:E46)/1000</f>
        <v>23.11823174502376</v>
      </c>
      <c r="F49" s="8">
        <f>SUM(F5:F46)/1000</f>
        <v>142.30486923739593</v>
      </c>
      <c r="G49" s="42">
        <f>(F49+E49+D49)</f>
        <v>248.39465136438332</v>
      </c>
      <c r="H49" s="42"/>
      <c r="I49" s="1"/>
      <c r="J49"/>
      <c r="K49" s="1"/>
      <c r="L49"/>
      <c r="M49" s="1"/>
      <c r="N49"/>
    </row>
    <row r="50" spans="2:14" x14ac:dyDescent="0.25">
      <c r="C50" s="10" t="s">
        <v>89</v>
      </c>
      <c r="D50" s="179">
        <f>SUM(D49:F49)</f>
        <v>248.39465136438332</v>
      </c>
      <c r="E50" s="179"/>
      <c r="F50" s="179"/>
      <c r="G50" s="134">
        <f>F49/D50</f>
        <v>0.57289828285650701</v>
      </c>
      <c r="H50" s="142"/>
      <c r="I50" s="1"/>
      <c r="J50"/>
      <c r="K50" s="1"/>
      <c r="L50"/>
      <c r="M50" s="1"/>
      <c r="N50"/>
    </row>
    <row r="51" spans="2:14" x14ac:dyDescent="0.25">
      <c r="I51" s="1"/>
      <c r="J51"/>
      <c r="K51" s="1"/>
      <c r="L51"/>
      <c r="M51" s="1"/>
      <c r="N51"/>
    </row>
    <row r="52" spans="2:14" ht="15.75" thickBot="1" x14ac:dyDescent="0.3">
      <c r="E52" s="142"/>
      <c r="J52"/>
      <c r="K52" s="1"/>
      <c r="L52"/>
      <c r="M52" s="1"/>
      <c r="N52"/>
    </row>
    <row r="53" spans="2:14" ht="15.75" thickBot="1" x14ac:dyDescent="0.3">
      <c r="G53" s="25" t="s">
        <v>137</v>
      </c>
      <c r="H53" s="56">
        <v>1.19</v>
      </c>
      <c r="J53"/>
      <c r="K53" s="1"/>
      <c r="L53"/>
      <c r="M53" s="1"/>
      <c r="N53"/>
    </row>
    <row r="54" spans="2:14" ht="15.75" thickBot="1" x14ac:dyDescent="0.3">
      <c r="C54" s="164" t="s">
        <v>302</v>
      </c>
      <c r="D54" s="165"/>
      <c r="E54" s="165"/>
      <c r="F54" s="165"/>
      <c r="G54" s="166"/>
    </row>
    <row r="55" spans="2:14" x14ac:dyDescent="0.25">
      <c r="B55" s="84" t="s">
        <v>171</v>
      </c>
      <c r="C55" s="10" t="s">
        <v>0</v>
      </c>
      <c r="D55" s="149" t="s">
        <v>60</v>
      </c>
      <c r="E55" s="149" t="s">
        <v>61</v>
      </c>
      <c r="F55" s="149" t="s">
        <v>62</v>
      </c>
      <c r="G55" s="150" t="s">
        <v>108</v>
      </c>
      <c r="H55" s="3" t="s">
        <v>133</v>
      </c>
    </row>
    <row r="56" spans="2:14" x14ac:dyDescent="0.25">
      <c r="B56" s="85" t="s">
        <v>152</v>
      </c>
      <c r="C56" s="36" t="s">
        <v>257</v>
      </c>
      <c r="D56" s="42">
        <f>'C1 BSR1'!G12</f>
        <v>975.63779999999997</v>
      </c>
      <c r="E56" s="42">
        <f>'C1 BSR1'!F15</f>
        <v>89.264129619106967</v>
      </c>
      <c r="F56" s="42">
        <f>'C1 BSR1'!E18</f>
        <v>1082.9009084325849</v>
      </c>
      <c r="G56" s="42">
        <f>SUM(D56:F56)</f>
        <v>2147.8028380516917</v>
      </c>
      <c r="H56" s="42">
        <f>G56*H53</f>
        <v>2555.8853772815128</v>
      </c>
    </row>
    <row r="57" spans="2:14" x14ac:dyDescent="0.25">
      <c r="B57" s="146" t="s">
        <v>152</v>
      </c>
      <c r="C57" s="147" t="s">
        <v>256</v>
      </c>
      <c r="D57" s="148">
        <f>'C1 BSR2'!G13</f>
        <v>2502.4274639999999</v>
      </c>
      <c r="E57" s="148">
        <f>'C1 BSR2'!F16</f>
        <v>1053.1756004467757</v>
      </c>
      <c r="F57" s="148">
        <f>'C1 BSR2'!E20</f>
        <v>2272.6188731583893</v>
      </c>
      <c r="G57" s="148">
        <f t="shared" ref="G57:G74" si="6">SUM(D57:F57)</f>
        <v>5828.2219376051653</v>
      </c>
      <c r="H57" s="143">
        <f>G57*H53</f>
        <v>6935.5841057501466</v>
      </c>
    </row>
    <row r="58" spans="2:14" x14ac:dyDescent="0.25">
      <c r="B58" s="85" t="s">
        <v>152</v>
      </c>
      <c r="C58" s="36" t="s">
        <v>308</v>
      </c>
      <c r="D58" s="42">
        <f>BAÑOS!G12</f>
        <v>15653.5578</v>
      </c>
      <c r="E58" s="42">
        <f>BAÑOS!F15</f>
        <v>202.95</v>
      </c>
      <c r="F58" s="42">
        <f>BAÑOS!E18</f>
        <v>1617</v>
      </c>
      <c r="G58" s="42">
        <f t="shared" si="6"/>
        <v>17473.507799999999</v>
      </c>
      <c r="H58" s="42">
        <f>G58*H53</f>
        <v>20793.474281999999</v>
      </c>
    </row>
    <row r="59" spans="2:14" x14ac:dyDescent="0.25">
      <c r="B59" s="85" t="s">
        <v>152</v>
      </c>
      <c r="C59" s="36" t="s">
        <v>307</v>
      </c>
      <c r="D59" s="42">
        <f>BAÑOS!G12</f>
        <v>15653.5578</v>
      </c>
      <c r="E59" s="42">
        <f>BAÑOS!F15</f>
        <v>202.95</v>
      </c>
      <c r="F59" s="42">
        <f>BAÑOS!E18</f>
        <v>1617</v>
      </c>
      <c r="G59" s="42">
        <f t="shared" si="6"/>
        <v>17473.507799999999</v>
      </c>
      <c r="H59" s="42">
        <f>G59*H53</f>
        <v>20793.474281999999</v>
      </c>
    </row>
    <row r="60" spans="2:14" x14ac:dyDescent="0.25">
      <c r="B60" s="85" t="s">
        <v>152</v>
      </c>
      <c r="C60" s="36" t="s">
        <v>309</v>
      </c>
      <c r="D60" s="42">
        <f>BAÑOS!G30</f>
        <v>288.01170000000002</v>
      </c>
      <c r="E60" s="42">
        <f>BAÑOS!F33</f>
        <v>173.74500000000003</v>
      </c>
      <c r="F60" s="42">
        <f>BAÑOS!E36</f>
        <v>1386</v>
      </c>
      <c r="G60" s="42">
        <f t="shared" si="6"/>
        <v>1847.7566999999999</v>
      </c>
      <c r="H60" s="42">
        <f>G60*H53</f>
        <v>2198.830473</v>
      </c>
    </row>
    <row r="61" spans="2:14" x14ac:dyDescent="0.25">
      <c r="B61" s="85" t="s">
        <v>152</v>
      </c>
      <c r="C61" s="36" t="s">
        <v>310</v>
      </c>
      <c r="D61" s="42">
        <f>BAÑOS!G30</f>
        <v>288.01170000000002</v>
      </c>
      <c r="E61" s="42">
        <f>BAÑOS!F33</f>
        <v>173.74500000000003</v>
      </c>
      <c r="F61" s="42">
        <f>BAÑOS!E36</f>
        <v>1386</v>
      </c>
      <c r="G61" s="42">
        <f t="shared" si="6"/>
        <v>1847.7566999999999</v>
      </c>
      <c r="H61" s="42">
        <f>G61*H53</f>
        <v>2198.830473</v>
      </c>
    </row>
    <row r="62" spans="2:14" x14ac:dyDescent="0.25">
      <c r="B62" s="85" t="s">
        <v>152</v>
      </c>
      <c r="C62" s="37" t="s">
        <v>291</v>
      </c>
      <c r="D62" s="42">
        <f>BAÑOS!G48</f>
        <v>206.90640000000002</v>
      </c>
      <c r="E62" s="42">
        <f>BAÑOS!F51</f>
        <v>118.79999999999998</v>
      </c>
      <c r="F62" s="42">
        <f>BAÑOS!E54</f>
        <v>831.59999999999991</v>
      </c>
      <c r="G62" s="42">
        <f t="shared" si="6"/>
        <v>1157.3063999999999</v>
      </c>
      <c r="H62" s="42">
        <f>G62*H53</f>
        <v>1377.1946159999998</v>
      </c>
    </row>
    <row r="63" spans="2:14" x14ac:dyDescent="0.25">
      <c r="B63" s="85" t="s">
        <v>152</v>
      </c>
      <c r="C63" s="37" t="s">
        <v>292</v>
      </c>
      <c r="D63" s="42">
        <f>BAÑOS!G48</f>
        <v>206.90640000000002</v>
      </c>
      <c r="E63" s="42">
        <f>BAÑOS!F51</f>
        <v>118.79999999999998</v>
      </c>
      <c r="F63" s="42">
        <f>BAÑOS!E54</f>
        <v>831.59999999999991</v>
      </c>
      <c r="G63" s="42">
        <f t="shared" si="6"/>
        <v>1157.3063999999999</v>
      </c>
      <c r="H63" s="42">
        <f>G63*H53</f>
        <v>1377.1946159999998</v>
      </c>
    </row>
    <row r="64" spans="2:14" x14ac:dyDescent="0.25">
      <c r="B64" s="85" t="s">
        <v>152</v>
      </c>
      <c r="C64" s="37" t="s">
        <v>293</v>
      </c>
      <c r="D64" s="42">
        <f>BAÑOS!G48</f>
        <v>206.90640000000002</v>
      </c>
      <c r="E64" s="42">
        <f>BAÑOS!F51</f>
        <v>118.79999999999998</v>
      </c>
      <c r="F64" s="42">
        <f>BAÑOS!E54</f>
        <v>831.59999999999991</v>
      </c>
      <c r="G64" s="42">
        <f t="shared" si="6"/>
        <v>1157.3063999999999</v>
      </c>
      <c r="H64" s="42">
        <f>G64*H53</f>
        <v>1377.1946159999998</v>
      </c>
    </row>
    <row r="65" spans="2:12" x14ac:dyDescent="0.25">
      <c r="B65" s="85" t="s">
        <v>152</v>
      </c>
      <c r="C65" s="37" t="s">
        <v>294</v>
      </c>
      <c r="D65" s="42">
        <f>BAÑOS!G48</f>
        <v>206.90640000000002</v>
      </c>
      <c r="E65" s="42">
        <f>BAÑOS!F51</f>
        <v>118.79999999999998</v>
      </c>
      <c r="F65" s="42">
        <f>BAÑOS!E54</f>
        <v>831.59999999999991</v>
      </c>
      <c r="G65" s="42">
        <f t="shared" si="6"/>
        <v>1157.3063999999999</v>
      </c>
      <c r="H65" s="42">
        <f>G65*H53</f>
        <v>1377.1946159999998</v>
      </c>
    </row>
    <row r="66" spans="2:12" x14ac:dyDescent="0.25">
      <c r="B66" s="85" t="s">
        <v>152</v>
      </c>
      <c r="C66" s="37" t="s">
        <v>295</v>
      </c>
      <c r="D66" s="42">
        <f>BAÑOS!G66</f>
        <v>128.60640000000001</v>
      </c>
      <c r="E66" s="42">
        <f>BAÑOS!F69</f>
        <v>71.28</v>
      </c>
      <c r="F66" s="42">
        <f>BAÑOS!E72</f>
        <v>831.59999999999991</v>
      </c>
      <c r="G66" s="42">
        <f t="shared" si="6"/>
        <v>1031.4864</v>
      </c>
      <c r="H66" s="42">
        <f>G66*H53</f>
        <v>1227.4688160000001</v>
      </c>
      <c r="L66" s="64"/>
    </row>
    <row r="67" spans="2:12" x14ac:dyDescent="0.25">
      <c r="B67" s="85" t="s">
        <v>152</v>
      </c>
      <c r="C67" s="37" t="s">
        <v>272</v>
      </c>
      <c r="D67" s="42">
        <f>BAÑOS!G84</f>
        <v>159.81120000000001</v>
      </c>
      <c r="E67" s="42">
        <f>BAÑOS!F87</f>
        <v>39.6</v>
      </c>
      <c r="F67" s="42">
        <f>BAÑOS!E90</f>
        <v>831.59999999999991</v>
      </c>
      <c r="G67" s="42">
        <f t="shared" si="6"/>
        <v>1031.0111999999999</v>
      </c>
      <c r="H67" s="42">
        <f>G67*H53</f>
        <v>1226.9033279999999</v>
      </c>
    </row>
    <row r="68" spans="2:12" x14ac:dyDescent="0.25">
      <c r="B68" s="85" t="s">
        <v>152</v>
      </c>
      <c r="C68" s="37" t="s">
        <v>273</v>
      </c>
      <c r="D68" s="42">
        <f>BAÑOS!G84</f>
        <v>159.81120000000001</v>
      </c>
      <c r="E68" s="42">
        <f>BAÑOS!F87</f>
        <v>39.6</v>
      </c>
      <c r="F68" s="42">
        <f>BAÑOS!E90</f>
        <v>831.59999999999991</v>
      </c>
      <c r="G68" s="42">
        <f t="shared" si="6"/>
        <v>1031.0111999999999</v>
      </c>
      <c r="H68" s="42">
        <f>G68*H53</f>
        <v>1226.9033279999999</v>
      </c>
    </row>
    <row r="69" spans="2:12" x14ac:dyDescent="0.25">
      <c r="B69" s="85" t="s">
        <v>152</v>
      </c>
      <c r="C69" s="37" t="s">
        <v>276</v>
      </c>
      <c r="D69" s="42">
        <f>BAÑOS!G102</f>
        <v>149.661</v>
      </c>
      <c r="E69" s="42">
        <f>BAÑOS!F105</f>
        <v>44.55</v>
      </c>
      <c r="F69" s="42">
        <f>BAÑOS!E108</f>
        <v>831.59999999999991</v>
      </c>
      <c r="G69" s="42">
        <f t="shared" si="6"/>
        <v>1025.8109999999999</v>
      </c>
      <c r="H69" s="42">
        <f>G69*H53</f>
        <v>1220.7150899999999</v>
      </c>
    </row>
    <row r="70" spans="2:12" x14ac:dyDescent="0.25">
      <c r="B70" s="85" t="s">
        <v>152</v>
      </c>
      <c r="C70" s="37" t="s">
        <v>312</v>
      </c>
      <c r="D70" s="42">
        <f>BAÑOS!G120</f>
        <v>426.30246</v>
      </c>
      <c r="E70" s="42">
        <f>BAÑOS!F123</f>
        <v>287.09999999999997</v>
      </c>
      <c r="F70" s="42">
        <f>BAÑOS!E126</f>
        <v>831.59999999999991</v>
      </c>
      <c r="G70" s="42">
        <f t="shared" si="6"/>
        <v>1545.0024599999999</v>
      </c>
      <c r="H70" s="42">
        <f>G70*H53</f>
        <v>1838.5529273999998</v>
      </c>
    </row>
    <row r="71" spans="2:12" x14ac:dyDescent="0.25">
      <c r="B71" s="85" t="s">
        <v>152</v>
      </c>
      <c r="C71" s="37" t="s">
        <v>313</v>
      </c>
      <c r="D71" s="42">
        <f>D70</f>
        <v>426.30246</v>
      </c>
      <c r="E71" s="42">
        <f t="shared" ref="E71:F71" si="7">E70</f>
        <v>287.09999999999997</v>
      </c>
      <c r="F71" s="42">
        <f t="shared" si="7"/>
        <v>831.59999999999991</v>
      </c>
      <c r="G71" s="42">
        <f t="shared" si="6"/>
        <v>1545.0024599999999</v>
      </c>
      <c r="H71" s="42">
        <f>G71*H53</f>
        <v>1838.5529273999998</v>
      </c>
    </row>
    <row r="72" spans="2:12" x14ac:dyDescent="0.25">
      <c r="B72" s="85" t="s">
        <v>152</v>
      </c>
      <c r="C72" s="37" t="s">
        <v>314</v>
      </c>
      <c r="D72" s="42">
        <f>PASILLOS!G13</f>
        <v>2163.2536800000003</v>
      </c>
      <c r="E72" s="42">
        <f>PASILLOS!F16</f>
        <v>1513.1857672348849</v>
      </c>
      <c r="F72" s="42">
        <f>PASILLOS!E20</f>
        <v>1273.7736</v>
      </c>
      <c r="G72" s="42">
        <f t="shared" si="6"/>
        <v>4950.2130472348854</v>
      </c>
      <c r="H72" s="42">
        <f>G72*H53</f>
        <v>5890.7535262095134</v>
      </c>
    </row>
    <row r="73" spans="2:12" x14ac:dyDescent="0.25">
      <c r="B73" s="85" t="s">
        <v>152</v>
      </c>
      <c r="C73" s="37" t="s">
        <v>315</v>
      </c>
      <c r="D73" s="42">
        <f>PASILLOS!G33</f>
        <v>906.49500000000012</v>
      </c>
      <c r="E73" s="42">
        <f>PASILLOS!F36</f>
        <v>1163.25</v>
      </c>
      <c r="F73" s="42">
        <f>PASILLOS!E40</f>
        <v>1663.8</v>
      </c>
      <c r="G73" s="42">
        <f t="shared" si="6"/>
        <v>3733.5450000000001</v>
      </c>
      <c r="H73" s="42">
        <f>G73*H53</f>
        <v>4442.9185500000003</v>
      </c>
    </row>
    <row r="74" spans="2:12" x14ac:dyDescent="0.25">
      <c r="B74" s="85" t="s">
        <v>152</v>
      </c>
      <c r="C74" s="37" t="s">
        <v>316</v>
      </c>
      <c r="D74" s="42">
        <f>PASILLOS!G53</f>
        <v>1277.71182</v>
      </c>
      <c r="E74" s="42">
        <f>PASILLOS!F56</f>
        <v>354.92</v>
      </c>
      <c r="F74" s="42">
        <f>PASILLOS!E60</f>
        <v>790.58429999999987</v>
      </c>
      <c r="G74" s="42">
        <f t="shared" si="6"/>
        <v>2423.21612</v>
      </c>
      <c r="H74" s="42">
        <f>G74*H53</f>
        <v>2883.6271827999999</v>
      </c>
    </row>
    <row r="75" spans="2:12" x14ac:dyDescent="0.25">
      <c r="B75" s="85" t="s">
        <v>152</v>
      </c>
      <c r="C75" s="37" t="s">
        <v>317</v>
      </c>
      <c r="D75" s="42">
        <f>PASILLOS!G73</f>
        <v>2295.7005999999997</v>
      </c>
      <c r="E75" s="42">
        <f>PASILLOS!F76</f>
        <v>186.80000000000004</v>
      </c>
      <c r="F75" s="42">
        <f>PASILLOS!E80</f>
        <v>416.09699999999998</v>
      </c>
      <c r="G75" s="42">
        <f>SUM(D75:F75)</f>
        <v>2898.5976000000001</v>
      </c>
      <c r="H75" s="42">
        <f>G75*H53</f>
        <v>3449.3311439999998</v>
      </c>
    </row>
    <row r="76" spans="2:12" x14ac:dyDescent="0.25">
      <c r="B76" s="85" t="s">
        <v>152</v>
      </c>
      <c r="C76" s="37" t="s">
        <v>322</v>
      </c>
      <c r="D76" s="42">
        <f>PASILLOS!G93</f>
        <v>3996.1592999999998</v>
      </c>
      <c r="E76" s="42">
        <f>PASILLOS!F96</f>
        <v>597.79999999999995</v>
      </c>
      <c r="F76" s="37">
        <f>PASILLOS!E100</f>
        <v>1331.5995</v>
      </c>
      <c r="G76" s="42">
        <f t="shared" ref="G76:G77" si="8">SUM(D76:F76)</f>
        <v>5925.5587999999998</v>
      </c>
      <c r="H76" s="42">
        <f>G76*H53</f>
        <v>7051.4149719999996</v>
      </c>
    </row>
    <row r="77" spans="2:12" x14ac:dyDescent="0.25">
      <c r="B77" s="85" t="s">
        <v>152</v>
      </c>
      <c r="C77" s="7" t="s">
        <v>329</v>
      </c>
      <c r="D77" s="42">
        <f>PASILLOS!G113</f>
        <v>1503.6694909090909</v>
      </c>
      <c r="E77" s="42">
        <f>PASILLOS!F116</f>
        <v>218.4</v>
      </c>
      <c r="F77" s="37">
        <f>PASILLOS!E120</f>
        <v>442.25999999999993</v>
      </c>
      <c r="G77" s="42">
        <f t="shared" si="8"/>
        <v>2164.329490909091</v>
      </c>
      <c r="H77" s="42">
        <f>G77*H53</f>
        <v>2575.5520941818181</v>
      </c>
    </row>
    <row r="78" spans="2:12" x14ac:dyDescent="0.25">
      <c r="B78" s="126"/>
      <c r="C78" s="10" t="s">
        <v>88</v>
      </c>
      <c r="D78" s="135">
        <f>SUM(D56:D77)/1000</f>
        <v>49.782314474909079</v>
      </c>
      <c r="E78" s="135">
        <f>SUM(E56:E77)/1000</f>
        <v>7.1746154973007688</v>
      </c>
      <c r="F78" s="135">
        <f>SUM(F56:F77)/1000</f>
        <v>23.595634181590974</v>
      </c>
      <c r="G78" s="135">
        <f>SUM(G56:G77)/1000</f>
        <v>80.55256415380083</v>
      </c>
      <c r="H78" s="134"/>
    </row>
    <row r="79" spans="2:12" x14ac:dyDescent="0.25">
      <c r="B79" s="126"/>
      <c r="C79" s="10" t="s">
        <v>89</v>
      </c>
      <c r="D79" s="167">
        <f>SUM(D78:F78)</f>
        <v>80.55256415380083</v>
      </c>
      <c r="E79" s="168"/>
      <c r="F79" s="169"/>
      <c r="G79" s="133"/>
    </row>
    <row r="80" spans="2:12" ht="15.75" thickBot="1" x14ac:dyDescent="0.3">
      <c r="B80" s="126"/>
      <c r="C80" s="73"/>
      <c r="D80" s="127"/>
      <c r="E80" s="127"/>
      <c r="F80" s="127"/>
      <c r="G80" s="127"/>
    </row>
    <row r="81" spans="2:8" ht="15.75" thickBot="1" x14ac:dyDescent="0.3">
      <c r="C81" s="170" t="s">
        <v>398</v>
      </c>
      <c r="D81" s="171"/>
      <c r="E81" s="171"/>
      <c r="F81" s="172"/>
      <c r="G81" s="127"/>
    </row>
    <row r="82" spans="2:8" x14ac:dyDescent="0.25">
      <c r="B82" s="85" t="s">
        <v>152</v>
      </c>
      <c r="C82" s="145" t="s">
        <v>300</v>
      </c>
      <c r="D82" s="135">
        <v>952.98839999999996</v>
      </c>
      <c r="E82" s="135">
        <v>287.09999999999997</v>
      </c>
      <c r="F82" s="135">
        <v>3326.3999999999996</v>
      </c>
      <c r="G82" s="42">
        <v>4566.4883999999993</v>
      </c>
      <c r="H82" s="42">
        <v>5434.1211959999991</v>
      </c>
    </row>
    <row r="83" spans="2:8" x14ac:dyDescent="0.25">
      <c r="B83" s="85" t="s">
        <v>152</v>
      </c>
      <c r="C83" s="37" t="s">
        <v>301</v>
      </c>
      <c r="D83" s="42">
        <v>952.98839999999996</v>
      </c>
      <c r="E83" s="42">
        <v>287.09999999999997</v>
      </c>
      <c r="F83" s="42">
        <v>3326.3999999999996</v>
      </c>
      <c r="G83" s="42">
        <v>4566.4883999999993</v>
      </c>
      <c r="H83" s="42">
        <v>5434.1211959999991</v>
      </c>
    </row>
    <row r="84" spans="2:8" x14ac:dyDescent="0.25">
      <c r="B84" s="85" t="s">
        <v>152</v>
      </c>
      <c r="C84" s="37" t="s">
        <v>396</v>
      </c>
      <c r="D84" s="42">
        <v>952.98839999999996</v>
      </c>
      <c r="E84" s="42">
        <v>287.09999999999997</v>
      </c>
      <c r="F84" s="42">
        <v>3326.3999999999996</v>
      </c>
      <c r="G84" s="42">
        <v>4566.4883999999993</v>
      </c>
      <c r="H84" s="42">
        <v>5434.1211959999991</v>
      </c>
    </row>
    <row r="85" spans="2:8" x14ac:dyDescent="0.25">
      <c r="B85" s="126"/>
      <c r="C85" s="37" t="s">
        <v>331</v>
      </c>
      <c r="D85" s="173">
        <f>SUM(D82:F84)/1000</f>
        <v>13.699465200000001</v>
      </c>
      <c r="E85" s="174"/>
      <c r="F85" s="175"/>
      <c r="G85" s="127"/>
    </row>
    <row r="86" spans="2:8" x14ac:dyDescent="0.25">
      <c r="B86" s="126"/>
      <c r="C86" s="73"/>
      <c r="D86" s="127"/>
      <c r="E86" s="127"/>
      <c r="F86" s="127"/>
      <c r="G86" s="127"/>
    </row>
    <row r="87" spans="2:8" x14ac:dyDescent="0.25">
      <c r="B87" s="126"/>
      <c r="C87" s="73"/>
      <c r="D87" s="127"/>
      <c r="E87" s="127"/>
      <c r="F87" s="127"/>
      <c r="G87" s="127"/>
    </row>
    <row r="88" spans="2:8" x14ac:dyDescent="0.25">
      <c r="B88" s="126"/>
      <c r="C88" s="73"/>
      <c r="D88" s="127"/>
      <c r="E88" s="127"/>
      <c r="F88" s="127"/>
      <c r="G88" s="127"/>
    </row>
    <row r="89" spans="2:8" x14ac:dyDescent="0.25">
      <c r="B89" s="126"/>
      <c r="C89" s="73"/>
      <c r="D89" s="127"/>
      <c r="E89" s="127"/>
      <c r="F89" s="127"/>
      <c r="G89" s="127"/>
    </row>
    <row r="90" spans="2:8" x14ac:dyDescent="0.25">
      <c r="B90" s="126"/>
      <c r="C90" s="73"/>
      <c r="D90" s="127"/>
      <c r="E90" s="127"/>
      <c r="F90" s="127"/>
      <c r="G90" s="127"/>
    </row>
    <row r="91" spans="2:8" x14ac:dyDescent="0.25">
      <c r="B91" s="126"/>
      <c r="C91" s="73"/>
      <c r="D91" s="127"/>
      <c r="E91" s="127"/>
      <c r="F91" s="127"/>
      <c r="G91" s="127"/>
    </row>
    <row r="92" spans="2:8" x14ac:dyDescent="0.25">
      <c r="B92" s="126"/>
      <c r="C92" s="73"/>
      <c r="D92" s="178"/>
      <c r="E92" s="178"/>
      <c r="F92" s="178"/>
      <c r="G92" s="75"/>
    </row>
  </sheetData>
  <mergeCells count="10">
    <mergeCell ref="J5:K5"/>
    <mergeCell ref="J6:K6"/>
    <mergeCell ref="J4:K4"/>
    <mergeCell ref="D92:F92"/>
    <mergeCell ref="D50:F50"/>
    <mergeCell ref="C3:G3"/>
    <mergeCell ref="C54:G54"/>
    <mergeCell ref="D79:F79"/>
    <mergeCell ref="C81:F81"/>
    <mergeCell ref="D85:F85"/>
  </mergeCells>
  <pageMargins left="0.7" right="0.7" top="0.75" bottom="0.75" header="0.3" footer="0.3"/>
  <pageSetup orientation="portrait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"/>
  <sheetViews>
    <sheetView workbookViewId="0">
      <selection activeCell="E10" sqref="E10"/>
    </sheetView>
  </sheetViews>
  <sheetFormatPr baseColWidth="10" defaultRowHeight="15" x14ac:dyDescent="0.25"/>
  <cols>
    <col min="2" max="2" width="20.28515625" bestFit="1" customWidth="1"/>
    <col min="3" max="3" width="19.42578125" bestFit="1" customWidth="1"/>
    <col min="4" max="4" width="24.42578125" bestFit="1" customWidth="1"/>
    <col min="5" max="6" width="19.85546875" bestFit="1" customWidth="1"/>
    <col min="7" max="7" width="16.7109375" bestFit="1" customWidth="1"/>
  </cols>
  <sheetData>
    <row r="2" spans="2:7" x14ac:dyDescent="0.25">
      <c r="B2" s="177" t="s">
        <v>318</v>
      </c>
      <c r="C2" s="177"/>
      <c r="D2" s="177"/>
      <c r="E2" s="177"/>
      <c r="F2" s="177"/>
      <c r="G2" s="177"/>
    </row>
    <row r="3" spans="2:7" x14ac:dyDescent="0.25">
      <c r="B3" t="s">
        <v>58</v>
      </c>
    </row>
    <row r="4" spans="2:7" x14ac:dyDescent="0.25">
      <c r="B4" s="32" t="s">
        <v>40</v>
      </c>
      <c r="C4" s="106" t="s">
        <v>102</v>
      </c>
      <c r="D4" s="106" t="s">
        <v>106</v>
      </c>
      <c r="E4" s="106" t="s">
        <v>105</v>
      </c>
      <c r="F4" s="106" t="s">
        <v>104</v>
      </c>
      <c r="G4" s="106" t="s">
        <v>103</v>
      </c>
    </row>
    <row r="5" spans="2:7" x14ac:dyDescent="0.25">
      <c r="B5" s="31" t="s">
        <v>43</v>
      </c>
      <c r="C5" s="8">
        <f>6.6*3</f>
        <v>19.799999999999997</v>
      </c>
      <c r="D5" s="132">
        <v>0.36</v>
      </c>
      <c r="E5" s="13">
        <f>'INFORMACION INICIAL'!C4</f>
        <v>10</v>
      </c>
      <c r="F5" s="106">
        <v>18</v>
      </c>
      <c r="G5" s="8">
        <f t="shared" ref="G5:G10" si="0">C5*D5*(F5-E5)</f>
        <v>57.023999999999987</v>
      </c>
    </row>
    <row r="6" spans="2:7" x14ac:dyDescent="0.25">
      <c r="B6" s="32" t="s">
        <v>44</v>
      </c>
      <c r="C6" s="8">
        <f>6.6*3</f>
        <v>19.799999999999997</v>
      </c>
      <c r="D6" s="132">
        <v>0.36</v>
      </c>
      <c r="E6" s="13">
        <f>'INFORMACION INICIAL'!C4</f>
        <v>10</v>
      </c>
      <c r="F6" s="106">
        <v>18</v>
      </c>
      <c r="G6" s="8">
        <f t="shared" si="0"/>
        <v>57.023999999999987</v>
      </c>
    </row>
    <row r="7" spans="2:7" x14ac:dyDescent="0.25">
      <c r="B7" s="32" t="s">
        <v>45</v>
      </c>
      <c r="C7" s="8">
        <f>13.8-2.2*2</f>
        <v>9.4</v>
      </c>
      <c r="D7" s="132">
        <v>0.36</v>
      </c>
      <c r="E7" s="13">
        <f>'INFORMACION INICIAL'!C4</f>
        <v>10</v>
      </c>
      <c r="F7" s="106">
        <v>18</v>
      </c>
      <c r="G7" s="8">
        <f t="shared" si="0"/>
        <v>27.071999999999999</v>
      </c>
    </row>
    <row r="8" spans="2:7" x14ac:dyDescent="0.25">
      <c r="B8" s="32" t="s">
        <v>46</v>
      </c>
      <c r="C8" s="8">
        <f>3*4.6</f>
        <v>13.799999999999999</v>
      </c>
      <c r="D8" s="132">
        <v>0.36</v>
      </c>
      <c r="E8" s="13">
        <f>'INFORMACION INICIAL'!C3</f>
        <v>-1.8</v>
      </c>
      <c r="F8" s="106">
        <v>18</v>
      </c>
      <c r="G8" s="8">
        <f t="shared" si="0"/>
        <v>98.366399999999985</v>
      </c>
    </row>
    <row r="9" spans="2:7" x14ac:dyDescent="0.25">
      <c r="B9" s="32" t="s">
        <v>49</v>
      </c>
      <c r="C9" s="8">
        <f>(2.2)*2</f>
        <v>4.4000000000000004</v>
      </c>
      <c r="D9" s="132">
        <v>1.8</v>
      </c>
      <c r="E9" s="13">
        <f>'INFORMACION INICIAL'!C3</f>
        <v>-1.8</v>
      </c>
      <c r="F9" s="106">
        <v>18</v>
      </c>
      <c r="G9" s="8">
        <f t="shared" si="0"/>
        <v>156.81600000000003</v>
      </c>
    </row>
    <row r="10" spans="2:7" x14ac:dyDescent="0.25">
      <c r="B10" s="32" t="s">
        <v>47</v>
      </c>
      <c r="C10" s="8">
        <f>'VENTILACION SUPER-PERS'!D81</f>
        <v>25.3</v>
      </c>
      <c r="D10" s="132">
        <v>0.21</v>
      </c>
      <c r="E10" s="13">
        <f>'INFORMACION INICIAL'!C3</f>
        <v>-1.8</v>
      </c>
      <c r="F10" s="106">
        <v>18</v>
      </c>
      <c r="G10" s="8">
        <f t="shared" si="0"/>
        <v>105.1974</v>
      </c>
    </row>
    <row r="11" spans="2:7" x14ac:dyDescent="0.25">
      <c r="B11" s="32" t="s">
        <v>48</v>
      </c>
      <c r="C11" s="8">
        <f>'VENTILACION SUPER-PERS'!D81</f>
        <v>25.3</v>
      </c>
      <c r="D11" s="132">
        <v>0.71</v>
      </c>
      <c r="E11" s="13">
        <f>'INFORMACION INICIAL'!C5</f>
        <v>0</v>
      </c>
      <c r="F11" s="106">
        <v>18</v>
      </c>
      <c r="G11" s="8">
        <f>'VENTILACION SUPER-PERS'!D48*D11*(F11-E11)</f>
        <v>474.13800000000003</v>
      </c>
    </row>
    <row r="12" spans="2:7" x14ac:dyDescent="0.25">
      <c r="B12" s="4"/>
      <c r="C12" s="4"/>
      <c r="D12" s="4"/>
      <c r="E12" s="4"/>
      <c r="F12" s="106" t="s">
        <v>59</v>
      </c>
      <c r="G12" s="8">
        <f>SUM(G5:G11)</f>
        <v>975.63779999999997</v>
      </c>
    </row>
    <row r="13" spans="2:7" x14ac:dyDescent="0.25">
      <c r="B13" t="s">
        <v>41</v>
      </c>
    </row>
    <row r="14" spans="2:7" x14ac:dyDescent="0.25">
      <c r="B14" s="106" t="s">
        <v>100</v>
      </c>
      <c r="C14" s="106" t="s">
        <v>101</v>
      </c>
      <c r="D14" s="106" t="s">
        <v>105</v>
      </c>
      <c r="E14" s="106" t="s">
        <v>104</v>
      </c>
      <c r="F14" s="106" t="s">
        <v>103</v>
      </c>
    </row>
    <row r="15" spans="2:7" x14ac:dyDescent="0.25">
      <c r="B15" s="132">
        <f>'INFORMACION INICIAL'!C10</f>
        <v>0.5</v>
      </c>
      <c r="C15" s="8">
        <f>C11</f>
        <v>25.3</v>
      </c>
      <c r="D15" s="13">
        <f>'INFORMACION INICIAL'!C3</f>
        <v>-1.8</v>
      </c>
      <c r="E15" s="106">
        <v>18</v>
      </c>
      <c r="F15" s="8">
        <f>B15*C15*(E15-D15)*'INFORMACION INICIAL'!C7*'INFORMACION INICIAL'!C8/3.6</f>
        <v>89.264129619106967</v>
      </c>
    </row>
    <row r="16" spans="2:7" x14ac:dyDescent="0.25">
      <c r="B16" t="s">
        <v>42</v>
      </c>
    </row>
    <row r="17" spans="2:5" x14ac:dyDescent="0.25">
      <c r="B17" s="106" t="s">
        <v>107</v>
      </c>
      <c r="C17" s="106" t="s">
        <v>105</v>
      </c>
      <c r="D17" s="106" t="s">
        <v>104</v>
      </c>
      <c r="E17" s="106" t="s">
        <v>103</v>
      </c>
    </row>
    <row r="18" spans="2:5" x14ac:dyDescent="0.25">
      <c r="B18" s="8">
        <f>'VENTILACION SUPER-PERS'!H81</f>
        <v>153.46249999999998</v>
      </c>
      <c r="C18" s="13">
        <f>'INFORMACION INICIAL'!C3</f>
        <v>-1.8</v>
      </c>
      <c r="D18" s="106">
        <v>18</v>
      </c>
      <c r="E18" s="8">
        <f>B18*(D18-C18)*'INFORMACION INICIAL'!C7*'INFORMACION INICIAL'!C8/3.6</f>
        <v>1082.9009084325849</v>
      </c>
    </row>
  </sheetData>
  <mergeCells count="1">
    <mergeCell ref="B2:G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E13" sqref="E13"/>
    </sheetView>
  </sheetViews>
  <sheetFormatPr baseColWidth="10" defaultRowHeight="15" x14ac:dyDescent="0.25"/>
  <cols>
    <col min="2" max="2" width="20.28515625" bestFit="1" customWidth="1"/>
    <col min="3" max="3" width="19.42578125" bestFit="1" customWidth="1"/>
    <col min="4" max="4" width="24.42578125" bestFit="1" customWidth="1"/>
    <col min="5" max="6" width="19.85546875" bestFit="1" customWidth="1"/>
    <col min="7" max="7" width="16.7109375" bestFit="1" customWidth="1"/>
  </cols>
  <sheetData>
    <row r="2" spans="2:7" x14ac:dyDescent="0.25">
      <c r="B2" s="177" t="s">
        <v>255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106" t="s">
        <v>102</v>
      </c>
      <c r="D5" s="106" t="s">
        <v>106</v>
      </c>
      <c r="E5" s="106" t="s">
        <v>105</v>
      </c>
      <c r="F5" s="106" t="s">
        <v>104</v>
      </c>
      <c r="G5" s="106" t="s">
        <v>103</v>
      </c>
    </row>
    <row r="6" spans="2:7" x14ac:dyDescent="0.25">
      <c r="B6" s="31" t="s">
        <v>43</v>
      </c>
      <c r="C6" s="8">
        <f>6.6*3</f>
        <v>19.799999999999997</v>
      </c>
      <c r="D6" s="132">
        <v>0.36</v>
      </c>
      <c r="E6" s="13">
        <f>'INFORMACION INICIAL'!C4</f>
        <v>10</v>
      </c>
      <c r="F6" s="106">
        <v>18</v>
      </c>
      <c r="G6" s="8">
        <f t="shared" ref="G6:G11" si="0">C6*D6*(F6-E6)</f>
        <v>57.023999999999987</v>
      </c>
    </row>
    <row r="7" spans="2:7" x14ac:dyDescent="0.25">
      <c r="B7" s="32" t="s">
        <v>44</v>
      </c>
      <c r="C7" s="8">
        <f>6.6*3</f>
        <v>19.799999999999997</v>
      </c>
      <c r="D7" s="132">
        <v>0.36</v>
      </c>
      <c r="E7" s="13">
        <f>'INFORMACION INICIAL'!C4</f>
        <v>10</v>
      </c>
      <c r="F7" s="107">
        <v>18</v>
      </c>
      <c r="G7" s="8">
        <f t="shared" si="0"/>
        <v>57.023999999999987</v>
      </c>
    </row>
    <row r="8" spans="2:7" x14ac:dyDescent="0.25">
      <c r="B8" s="32" t="s">
        <v>45</v>
      </c>
      <c r="C8" s="8">
        <f>17.73*4.6</f>
        <v>81.557999999999993</v>
      </c>
      <c r="D8" s="132">
        <v>0.36</v>
      </c>
      <c r="E8" s="13">
        <f>'INFORMACION INICIAL'!C4</f>
        <v>10</v>
      </c>
      <c r="F8" s="107">
        <v>18</v>
      </c>
      <c r="G8" s="8">
        <f>C8*D8*(F8-E8)</f>
        <v>234.88703999999996</v>
      </c>
    </row>
    <row r="9" spans="2:7" x14ac:dyDescent="0.25">
      <c r="B9" s="32" t="s">
        <v>46</v>
      </c>
      <c r="C9" s="8">
        <f>17.73*4.6-11.5*2</f>
        <v>58.557999999999993</v>
      </c>
      <c r="D9" s="132">
        <v>0.36</v>
      </c>
      <c r="E9" s="13">
        <f>'INFORMACION INICIAL'!C3</f>
        <v>-1.8</v>
      </c>
      <c r="F9" s="107">
        <v>18</v>
      </c>
      <c r="G9" s="8">
        <f>C9*D9*(F9-E9)</f>
        <v>417.40142399999996</v>
      </c>
    </row>
    <row r="10" spans="2:7" x14ac:dyDescent="0.25">
      <c r="B10" s="32" t="s">
        <v>49</v>
      </c>
      <c r="C10" s="8">
        <f>(11.9)*2</f>
        <v>23.8</v>
      </c>
      <c r="D10" s="132">
        <v>1.8</v>
      </c>
      <c r="E10" s="13">
        <f>'INFORMACION INICIAL'!C3</f>
        <v>-1.8</v>
      </c>
      <c r="F10" s="107">
        <v>18</v>
      </c>
      <c r="G10" s="8">
        <f t="shared" si="0"/>
        <v>848.23200000000008</v>
      </c>
    </row>
    <row r="11" spans="2:7" x14ac:dyDescent="0.25">
      <c r="B11" s="32" t="s">
        <v>47</v>
      </c>
      <c r="C11" s="8">
        <v>99.5</v>
      </c>
      <c r="D11" s="132">
        <v>0.21</v>
      </c>
      <c r="E11" s="13">
        <f>'INFORMACION INICIAL'!C3</f>
        <v>-1.8</v>
      </c>
      <c r="F11" s="107">
        <v>18</v>
      </c>
      <c r="G11" s="8">
        <f t="shared" si="0"/>
        <v>413.721</v>
      </c>
    </row>
    <row r="12" spans="2:7" x14ac:dyDescent="0.25">
      <c r="B12" s="32" t="s">
        <v>48</v>
      </c>
      <c r="C12" s="8">
        <f>C11</f>
        <v>99.5</v>
      </c>
      <c r="D12" s="132">
        <v>0.71</v>
      </c>
      <c r="E12" s="13">
        <f>'INFORMACION INICIAL'!C5</f>
        <v>0</v>
      </c>
      <c r="F12" s="107">
        <v>18</v>
      </c>
      <c r="G12" s="8">
        <f>'VENTILACION SUPER-PERS'!D48*D12*(F12-E12)</f>
        <v>474.13800000000003</v>
      </c>
    </row>
    <row r="13" spans="2:7" x14ac:dyDescent="0.25">
      <c r="B13" s="4"/>
      <c r="C13" s="4"/>
      <c r="D13" s="4"/>
      <c r="E13" s="4"/>
      <c r="F13" s="106" t="s">
        <v>59</v>
      </c>
      <c r="G13" s="8">
        <f>SUM(G6:G12)</f>
        <v>2502.4274639999999</v>
      </c>
    </row>
    <row r="14" spans="2:7" x14ac:dyDescent="0.25">
      <c r="B14" t="s">
        <v>41</v>
      </c>
    </row>
    <row r="15" spans="2:7" x14ac:dyDescent="0.25">
      <c r="B15" s="106" t="s">
        <v>100</v>
      </c>
      <c r="C15" s="106" t="s">
        <v>101</v>
      </c>
      <c r="D15" s="106" t="s">
        <v>105</v>
      </c>
      <c r="E15" s="106" t="s">
        <v>104</v>
      </c>
      <c r="F15" s="106" t="s">
        <v>103</v>
      </c>
    </row>
    <row r="16" spans="2:7" x14ac:dyDescent="0.25">
      <c r="B16" s="132">
        <f>'INFORMACION INICIAL'!C10</f>
        <v>0.5</v>
      </c>
      <c r="C16" s="8">
        <f>C12*3</f>
        <v>298.5</v>
      </c>
      <c r="D16" s="13">
        <f>'INFORMACION INICIAL'!C3</f>
        <v>-1.8</v>
      </c>
      <c r="E16" s="106">
        <v>18</v>
      </c>
      <c r="F16" s="8">
        <f>B16*C16*(E16-D16)*'INFORMACION INICIAL'!C7*'INFORMACION INICIAL'!C8/3.6</f>
        <v>1053.1756004467757</v>
      </c>
    </row>
    <row r="18" spans="2:5" x14ac:dyDescent="0.25">
      <c r="B18" t="s">
        <v>42</v>
      </c>
    </row>
    <row r="19" spans="2:5" x14ac:dyDescent="0.25">
      <c r="B19" s="106" t="s">
        <v>107</v>
      </c>
      <c r="C19" s="106" t="s">
        <v>105</v>
      </c>
      <c r="D19" s="106" t="s">
        <v>104</v>
      </c>
      <c r="E19" s="106" t="s">
        <v>103</v>
      </c>
    </row>
    <row r="20" spans="2:5" x14ac:dyDescent="0.25">
      <c r="B20" s="8">
        <f>'VENTILACION SUPER-PERS'!H82</f>
        <v>322.06249999999994</v>
      </c>
      <c r="C20" s="13">
        <f>'INFORMACION INICIAL'!C3</f>
        <v>-1.8</v>
      </c>
      <c r="D20" s="106">
        <v>18</v>
      </c>
      <c r="E20" s="13">
        <f>B20*(D20-C20)*'INFORMACION INICIAL'!C7*'INFORMACION INICIAL'!C8/3.6</f>
        <v>2272.6188731583893</v>
      </c>
    </row>
  </sheetData>
  <mergeCells count="1">
    <mergeCell ref="B2:G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1"/>
  <sheetViews>
    <sheetView topLeftCell="A127" zoomScale="85" zoomScaleNormal="85" workbookViewId="0">
      <selection activeCell="G138" sqref="G138"/>
    </sheetView>
  </sheetViews>
  <sheetFormatPr baseColWidth="10" defaultRowHeight="15" x14ac:dyDescent="0.25"/>
  <cols>
    <col min="1" max="1" width="13.85546875" style="1" customWidth="1"/>
    <col min="2" max="2" width="20.28515625" bestFit="1" customWidth="1"/>
    <col min="3" max="3" width="19.42578125" bestFit="1" customWidth="1"/>
    <col min="4" max="4" width="24.42578125" bestFit="1" customWidth="1"/>
    <col min="5" max="6" width="19.85546875" bestFit="1" customWidth="1"/>
    <col min="7" max="7" width="16.7109375" bestFit="1" customWidth="1"/>
  </cols>
  <sheetData>
    <row r="2" spans="1:7" x14ac:dyDescent="0.25">
      <c r="B2" s="180" t="s">
        <v>288</v>
      </c>
      <c r="C2" s="180"/>
      <c r="D2" s="180"/>
      <c r="E2" s="180"/>
      <c r="F2" s="180"/>
      <c r="G2" s="180"/>
    </row>
    <row r="4" spans="1:7" x14ac:dyDescent="0.25">
      <c r="A4" s="1" t="s">
        <v>58</v>
      </c>
      <c r="B4" s="32" t="s">
        <v>40</v>
      </c>
      <c r="C4" s="107" t="s">
        <v>102</v>
      </c>
      <c r="D4" s="107" t="s">
        <v>106</v>
      </c>
      <c r="E4" s="107" t="s">
        <v>105</v>
      </c>
      <c r="F4" s="107" t="s">
        <v>104</v>
      </c>
      <c r="G4" s="107" t="s">
        <v>103</v>
      </c>
    </row>
    <row r="5" spans="1:7" x14ac:dyDescent="0.25">
      <c r="B5" s="31" t="s">
        <v>43</v>
      </c>
      <c r="C5" s="8">
        <f>7.45*3</f>
        <v>22.35</v>
      </c>
      <c r="D5" s="132">
        <v>0.36</v>
      </c>
      <c r="E5" s="13">
        <f>'INFORMACION INICIAL'!C4</f>
        <v>10</v>
      </c>
      <c r="F5" s="107">
        <v>18</v>
      </c>
      <c r="G5" s="8">
        <f t="shared" ref="G5:G6" si="0">C5*D5*(F5-E5)</f>
        <v>64.367999999999995</v>
      </c>
    </row>
    <row r="6" spans="1:7" x14ac:dyDescent="0.25">
      <c r="B6" s="32" t="s">
        <v>44</v>
      </c>
      <c r="C6" s="8">
        <f>7.45*3</f>
        <v>22.35</v>
      </c>
      <c r="D6" s="132">
        <v>0.36</v>
      </c>
      <c r="E6" s="13">
        <f>'INFORMACION INICIAL'!C4</f>
        <v>10</v>
      </c>
      <c r="F6" s="132">
        <v>18</v>
      </c>
      <c r="G6" s="8">
        <f t="shared" si="0"/>
        <v>64.367999999999995</v>
      </c>
    </row>
    <row r="7" spans="1:7" x14ac:dyDescent="0.25">
      <c r="B7" s="32" t="s">
        <v>45</v>
      </c>
      <c r="C7" s="8">
        <f>3*3.45</f>
        <v>10.350000000000001</v>
      </c>
      <c r="D7" s="132">
        <v>0.36</v>
      </c>
      <c r="E7" s="13">
        <f>'INFORMACION INICIAL'!C4</f>
        <v>10</v>
      </c>
      <c r="F7" s="132">
        <v>18</v>
      </c>
      <c r="G7" s="8">
        <f>C7*D7*(F7-E7)</f>
        <v>29.808000000000003</v>
      </c>
    </row>
    <row r="8" spans="1:7" x14ac:dyDescent="0.25">
      <c r="B8" s="32" t="s">
        <v>46</v>
      </c>
      <c r="C8" s="8">
        <f>C7</f>
        <v>10.350000000000001</v>
      </c>
      <c r="D8" s="132">
        <v>0.36</v>
      </c>
      <c r="E8" s="13">
        <f>'INFORMACION INICIAL'!C3</f>
        <v>-1.8</v>
      </c>
      <c r="F8" s="132">
        <v>18</v>
      </c>
      <c r="G8" s="8">
        <f>C8*D8*(F8-E8)</f>
        <v>73.774800000000013</v>
      </c>
    </row>
    <row r="9" spans="1:7" x14ac:dyDescent="0.25">
      <c r="B9" s="32" t="s">
        <v>49</v>
      </c>
      <c r="C9" s="8">
        <v>0</v>
      </c>
      <c r="D9" s="132">
        <v>1.8</v>
      </c>
      <c r="E9" s="13">
        <f>'INFORMACION INICIAL'!C4</f>
        <v>10</v>
      </c>
      <c r="F9" s="132">
        <v>18</v>
      </c>
      <c r="G9" s="8">
        <f t="shared" ref="G9:G10" si="1">C9*D9*(F9-E9)</f>
        <v>0</v>
      </c>
    </row>
    <row r="10" spans="1:7" x14ac:dyDescent="0.25">
      <c r="B10" s="32" t="s">
        <v>47</v>
      </c>
      <c r="C10" s="8">
        <f>'VENTILACION SUPER-PERS'!D59</f>
        <v>20.5</v>
      </c>
      <c r="D10" s="132">
        <v>0.21</v>
      </c>
      <c r="E10" s="13">
        <f>'INFORMACION INICIAL'!C3</f>
        <v>-1.8</v>
      </c>
      <c r="F10" s="132">
        <v>18</v>
      </c>
      <c r="G10" s="8">
        <f t="shared" si="1"/>
        <v>85.239000000000004</v>
      </c>
    </row>
    <row r="11" spans="1:7" x14ac:dyDescent="0.25">
      <c r="B11" s="32" t="s">
        <v>48</v>
      </c>
      <c r="C11" s="8">
        <f>'VENTILACION SUPER-PERS'!D59</f>
        <v>20.5</v>
      </c>
      <c r="D11" s="132">
        <v>0.71</v>
      </c>
      <c r="E11" s="13">
        <f>'INFORMACION INICIAL'!C61</f>
        <v>0</v>
      </c>
      <c r="F11" s="132">
        <v>18</v>
      </c>
      <c r="G11" s="8">
        <f>'VENTILACION SUPER-PERS'!E102*D11*(F11-E11)</f>
        <v>15336</v>
      </c>
    </row>
    <row r="12" spans="1:7" x14ac:dyDescent="0.25">
      <c r="B12" s="4"/>
      <c r="C12" s="4"/>
      <c r="D12" s="4"/>
      <c r="E12" s="4"/>
      <c r="F12" s="107" t="s">
        <v>59</v>
      </c>
      <c r="G12" s="8">
        <f>SUM(G5:G11)</f>
        <v>15653.5578</v>
      </c>
    </row>
    <row r="14" spans="1:7" x14ac:dyDescent="0.25">
      <c r="A14" s="1" t="s">
        <v>41</v>
      </c>
      <c r="B14" s="107" t="s">
        <v>100</v>
      </c>
      <c r="C14" s="107" t="s">
        <v>101</v>
      </c>
      <c r="D14" s="107" t="s">
        <v>105</v>
      </c>
      <c r="E14" s="107" t="s">
        <v>104</v>
      </c>
      <c r="F14" s="107" t="s">
        <v>103</v>
      </c>
    </row>
    <row r="15" spans="1:7" x14ac:dyDescent="0.25">
      <c r="B15" s="132">
        <f>'INFORMACION INICIAL'!C10</f>
        <v>0.5</v>
      </c>
      <c r="C15" s="8">
        <f>C11*3</f>
        <v>61.5</v>
      </c>
      <c r="D15" s="13">
        <f>'INFORMACION INICIAL'!C3</f>
        <v>-1.8</v>
      </c>
      <c r="E15" s="107">
        <v>18</v>
      </c>
      <c r="F15" s="8">
        <f>B15*C15*1.2*1*(E15-D15)/3.6</f>
        <v>202.95</v>
      </c>
    </row>
    <row r="17" spans="1:7" x14ac:dyDescent="0.25">
      <c r="A17" s="1" t="s">
        <v>42</v>
      </c>
      <c r="B17" s="107" t="s">
        <v>107</v>
      </c>
      <c r="C17" s="107" t="s">
        <v>105</v>
      </c>
      <c r="D17" s="107" t="s">
        <v>104</v>
      </c>
      <c r="E17" s="107" t="s">
        <v>103</v>
      </c>
    </row>
    <row r="18" spans="1:7" x14ac:dyDescent="0.25">
      <c r="B18" s="8">
        <f>'VENTILACION SUPER-PERS'!G59</f>
        <v>245</v>
      </c>
      <c r="C18" s="13">
        <f>'INFORMACION INICIAL'!C3</f>
        <v>-1.8</v>
      </c>
      <c r="D18" s="107">
        <v>18</v>
      </c>
      <c r="E18" s="13">
        <f>B18*1.2*1*(D18-C18)/3.6</f>
        <v>1617</v>
      </c>
    </row>
    <row r="20" spans="1:7" x14ac:dyDescent="0.25">
      <c r="B20" s="180" t="s">
        <v>311</v>
      </c>
      <c r="C20" s="180"/>
      <c r="D20" s="180"/>
      <c r="E20" s="180"/>
      <c r="F20" s="180"/>
      <c r="G20" s="180"/>
    </row>
    <row r="22" spans="1:7" x14ac:dyDescent="0.25">
      <c r="A22" s="1" t="s">
        <v>58</v>
      </c>
      <c r="B22" s="32" t="s">
        <v>40</v>
      </c>
      <c r="C22" s="107" t="s">
        <v>102</v>
      </c>
      <c r="D22" s="107" t="s">
        <v>106</v>
      </c>
      <c r="E22" s="107" t="s">
        <v>105</v>
      </c>
      <c r="F22" s="107" t="s">
        <v>104</v>
      </c>
      <c r="G22" s="107" t="s">
        <v>103</v>
      </c>
    </row>
    <row r="23" spans="1:7" x14ac:dyDescent="0.25">
      <c r="B23" s="31" t="s">
        <v>43</v>
      </c>
      <c r="C23" s="8">
        <f>3*6.45</f>
        <v>19.350000000000001</v>
      </c>
      <c r="D23" s="132">
        <v>0.36</v>
      </c>
      <c r="E23" s="13">
        <f>'INFORMACION INICIAL'!C4</f>
        <v>10</v>
      </c>
      <c r="F23" s="107">
        <v>18</v>
      </c>
      <c r="G23" s="8">
        <f t="shared" ref="G23:G24" si="2">C23*D23*(F23-E23)</f>
        <v>55.728000000000002</v>
      </c>
    </row>
    <row r="24" spans="1:7" x14ac:dyDescent="0.25">
      <c r="B24" s="32" t="s">
        <v>44</v>
      </c>
      <c r="C24" s="8">
        <f>C23</f>
        <v>19.350000000000001</v>
      </c>
      <c r="D24" s="132">
        <v>0.36</v>
      </c>
      <c r="E24" s="13">
        <f>'INFORMACION INICIAL'!C4</f>
        <v>10</v>
      </c>
      <c r="F24" s="132">
        <v>18</v>
      </c>
      <c r="G24" s="8">
        <f t="shared" si="2"/>
        <v>55.728000000000002</v>
      </c>
    </row>
    <row r="25" spans="1:7" x14ac:dyDescent="0.25">
      <c r="B25" s="32" t="s">
        <v>45</v>
      </c>
      <c r="C25" s="8">
        <f>3.45*3</f>
        <v>10.350000000000001</v>
      </c>
      <c r="D25" s="132">
        <v>0.36</v>
      </c>
      <c r="E25" s="13">
        <f>'INFORMACION INICIAL'!C4</f>
        <v>10</v>
      </c>
      <c r="F25" s="132">
        <v>18</v>
      </c>
      <c r="G25" s="8">
        <f>C25*D25*(F25-E25)</f>
        <v>29.808000000000003</v>
      </c>
    </row>
    <row r="26" spans="1:7" x14ac:dyDescent="0.25">
      <c r="B26" s="32" t="s">
        <v>46</v>
      </c>
      <c r="C26" s="8">
        <f>C25</f>
        <v>10.350000000000001</v>
      </c>
      <c r="D26" s="132">
        <v>0.36</v>
      </c>
      <c r="E26" s="13">
        <f>'INFORMACION INICIAL'!C3</f>
        <v>-1.8</v>
      </c>
      <c r="F26" s="132">
        <v>18</v>
      </c>
      <c r="G26" s="8">
        <f>C26*D26*(F26-E26)</f>
        <v>73.774800000000013</v>
      </c>
    </row>
    <row r="27" spans="1:7" x14ac:dyDescent="0.25">
      <c r="B27" s="32" t="s">
        <v>49</v>
      </c>
      <c r="C27" s="8">
        <v>0</v>
      </c>
      <c r="D27" s="132">
        <v>1.8</v>
      </c>
      <c r="E27" s="13">
        <f>'INFORMACION INICIAL'!C4</f>
        <v>10</v>
      </c>
      <c r="F27" s="132">
        <v>18</v>
      </c>
      <c r="G27" s="8">
        <f t="shared" ref="G27:G28" si="3">C27*D27*(F27-E27)</f>
        <v>0</v>
      </c>
    </row>
    <row r="28" spans="1:7" x14ac:dyDescent="0.25">
      <c r="B28" s="32" t="s">
        <v>47</v>
      </c>
      <c r="C28" s="8">
        <f>'VENTILACION SUPER-PERS'!D61</f>
        <v>17.55</v>
      </c>
      <c r="D28" s="132">
        <v>0.21</v>
      </c>
      <c r="E28" s="13">
        <f>'INFORMACION INICIAL'!C3</f>
        <v>-1.8</v>
      </c>
      <c r="F28" s="132">
        <v>18</v>
      </c>
      <c r="G28" s="8">
        <f t="shared" si="3"/>
        <v>72.97290000000001</v>
      </c>
    </row>
    <row r="29" spans="1:7" x14ac:dyDescent="0.25">
      <c r="B29" s="32" t="s">
        <v>48</v>
      </c>
      <c r="C29" s="8">
        <f>'VENTILACION SUPER-PERS'!D61</f>
        <v>17.55</v>
      </c>
      <c r="D29" s="132">
        <v>0.71</v>
      </c>
      <c r="E29" s="13">
        <f>'INFORMACION INICIAL'!C80</f>
        <v>0</v>
      </c>
      <c r="F29" s="132">
        <v>18</v>
      </c>
      <c r="G29" s="8">
        <f>'VENTILACION SUPER-PERS'!D121*D29*(F29-E29)</f>
        <v>0</v>
      </c>
    </row>
    <row r="30" spans="1:7" x14ac:dyDescent="0.25">
      <c r="B30" s="4"/>
      <c r="C30" s="4"/>
      <c r="D30" s="4"/>
      <c r="E30" s="4"/>
      <c r="F30" s="107" t="s">
        <v>59</v>
      </c>
      <c r="G30" s="8">
        <f>SUM(G23:G29)</f>
        <v>288.01170000000002</v>
      </c>
    </row>
    <row r="32" spans="1:7" x14ac:dyDescent="0.25">
      <c r="A32" s="1" t="s">
        <v>41</v>
      </c>
      <c r="B32" s="107" t="s">
        <v>100</v>
      </c>
      <c r="C32" s="107" t="s">
        <v>101</v>
      </c>
      <c r="D32" s="107" t="s">
        <v>105</v>
      </c>
      <c r="E32" s="107" t="s">
        <v>104</v>
      </c>
      <c r="F32" s="107" t="s">
        <v>103</v>
      </c>
    </row>
    <row r="33" spans="1:7" x14ac:dyDescent="0.25">
      <c r="B33" s="132">
        <f>'INFORMACION INICIAL'!C10</f>
        <v>0.5</v>
      </c>
      <c r="C33" s="8">
        <f>C29*3</f>
        <v>52.650000000000006</v>
      </c>
      <c r="D33" s="13">
        <f>'INFORMACION INICIAL'!C3</f>
        <v>-1.8</v>
      </c>
      <c r="E33" s="107">
        <v>18</v>
      </c>
      <c r="F33" s="8">
        <f>B33*C33*1.2*1*(E33-D33)/3.6</f>
        <v>173.74500000000003</v>
      </c>
    </row>
    <row r="35" spans="1:7" x14ac:dyDescent="0.25">
      <c r="A35" s="1" t="s">
        <v>42</v>
      </c>
      <c r="B35" s="107" t="s">
        <v>107</v>
      </c>
      <c r="C35" s="107" t="s">
        <v>105</v>
      </c>
      <c r="D35" s="107" t="s">
        <v>104</v>
      </c>
      <c r="E35" s="107" t="s">
        <v>103</v>
      </c>
    </row>
    <row r="36" spans="1:7" x14ac:dyDescent="0.25">
      <c r="B36" s="8">
        <f>'VENTILACION SUPER-PERS'!G61</f>
        <v>210</v>
      </c>
      <c r="C36" s="13">
        <f>'INFORMACION INICIAL'!C3</f>
        <v>-1.8</v>
      </c>
      <c r="D36" s="107">
        <v>18</v>
      </c>
      <c r="E36" s="13">
        <f>B36*1.2*1*(D36-C36)/3.6</f>
        <v>1386</v>
      </c>
    </row>
    <row r="38" spans="1:7" x14ac:dyDescent="0.25">
      <c r="B38" s="180" t="s">
        <v>290</v>
      </c>
      <c r="C38" s="180"/>
      <c r="D38" s="180"/>
      <c r="E38" s="180"/>
      <c r="F38" s="180"/>
      <c r="G38" s="180"/>
    </row>
    <row r="40" spans="1:7" x14ac:dyDescent="0.25">
      <c r="A40" s="1" t="s">
        <v>58</v>
      </c>
      <c r="B40" s="32" t="s">
        <v>40</v>
      </c>
      <c r="C40" s="107" t="s">
        <v>102</v>
      </c>
      <c r="D40" s="107" t="s">
        <v>106</v>
      </c>
      <c r="E40" s="107" t="s">
        <v>105</v>
      </c>
      <c r="F40" s="107" t="s">
        <v>104</v>
      </c>
      <c r="G40" s="107" t="s">
        <v>103</v>
      </c>
    </row>
    <row r="41" spans="1:7" x14ac:dyDescent="0.25">
      <c r="B41" s="31" t="s">
        <v>43</v>
      </c>
      <c r="C41" s="8">
        <f>3.7*3</f>
        <v>11.100000000000001</v>
      </c>
      <c r="D41" s="132">
        <v>0.36</v>
      </c>
      <c r="E41" s="13">
        <f>'INFORMACION INICIAL'!C4</f>
        <v>10</v>
      </c>
      <c r="F41" s="107">
        <v>18</v>
      </c>
      <c r="G41" s="8">
        <f t="shared" ref="G41:G42" si="4">C41*D41*(F41-E41)</f>
        <v>31.968000000000004</v>
      </c>
    </row>
    <row r="42" spans="1:7" x14ac:dyDescent="0.25">
      <c r="B42" s="32" t="s">
        <v>44</v>
      </c>
      <c r="C42" s="8">
        <f>C41</f>
        <v>11.100000000000001</v>
      </c>
      <c r="D42" s="132">
        <v>0.36</v>
      </c>
      <c r="E42" s="13">
        <f>'INFORMACION INICIAL'!C4</f>
        <v>10</v>
      </c>
      <c r="F42" s="132">
        <v>18</v>
      </c>
      <c r="G42" s="8">
        <f t="shared" si="4"/>
        <v>31.968000000000004</v>
      </c>
    </row>
    <row r="43" spans="1:7" x14ac:dyDescent="0.25">
      <c r="B43" s="32" t="s">
        <v>45</v>
      </c>
      <c r="C43" s="8">
        <f>3.1*3</f>
        <v>9.3000000000000007</v>
      </c>
      <c r="D43" s="132">
        <v>0.36</v>
      </c>
      <c r="E43" s="13">
        <f>'INFORMACION INICIAL'!C4</f>
        <v>10</v>
      </c>
      <c r="F43" s="132">
        <v>18</v>
      </c>
      <c r="G43" s="8">
        <f>C43*D43*(F43-E43)</f>
        <v>26.784000000000002</v>
      </c>
    </row>
    <row r="44" spans="1:7" x14ac:dyDescent="0.25">
      <c r="B44" s="32" t="s">
        <v>46</v>
      </c>
      <c r="C44" s="8">
        <f>3.1*3</f>
        <v>9.3000000000000007</v>
      </c>
      <c r="D44" s="132">
        <v>0.36</v>
      </c>
      <c r="E44" s="13">
        <f>'INFORMACION INICIAL'!C3</f>
        <v>-1.8</v>
      </c>
      <c r="F44" s="132">
        <v>18</v>
      </c>
      <c r="G44" s="8">
        <f>C44*D44*(F44-E44)</f>
        <v>66.290400000000005</v>
      </c>
    </row>
    <row r="45" spans="1:7" x14ac:dyDescent="0.25">
      <c r="B45" s="32" t="s">
        <v>49</v>
      </c>
      <c r="C45" s="8">
        <v>0</v>
      </c>
      <c r="D45" s="132">
        <v>1.8</v>
      </c>
      <c r="E45" s="13">
        <f>'INFORMACION INICIAL'!C4</f>
        <v>10</v>
      </c>
      <c r="F45" s="132">
        <v>18</v>
      </c>
      <c r="G45" s="8">
        <f t="shared" ref="G45:G46" si="5">C45*D45*(F45-E45)</f>
        <v>0</v>
      </c>
    </row>
    <row r="46" spans="1:7" x14ac:dyDescent="0.25">
      <c r="B46" s="32" t="s">
        <v>47</v>
      </c>
      <c r="C46" s="8">
        <f>'VENTILACION SUPER-PERS'!D71</f>
        <v>12</v>
      </c>
      <c r="D46" s="132">
        <v>0.21</v>
      </c>
      <c r="E46" s="13">
        <f>'INFORMACION INICIAL'!C3</f>
        <v>-1.8</v>
      </c>
      <c r="F46" s="132">
        <v>18</v>
      </c>
      <c r="G46" s="8">
        <f t="shared" si="5"/>
        <v>49.896000000000001</v>
      </c>
    </row>
    <row r="47" spans="1:7" x14ac:dyDescent="0.25">
      <c r="B47" s="32" t="s">
        <v>48</v>
      </c>
      <c r="C47" s="8">
        <f>'VENTILACION SUPER-PERS'!D71</f>
        <v>12</v>
      </c>
      <c r="D47" s="132">
        <v>0.71</v>
      </c>
      <c r="E47" s="13">
        <f>'INFORMACION INICIAL'!C99</f>
        <v>0</v>
      </c>
      <c r="F47" s="132">
        <v>18</v>
      </c>
      <c r="G47" s="8">
        <f>'VENTILACION SUPER-PERS'!D140*D47*(F47-E47)</f>
        <v>0</v>
      </c>
    </row>
    <row r="48" spans="1:7" x14ac:dyDescent="0.25">
      <c r="B48" s="4"/>
      <c r="C48" s="4"/>
      <c r="D48" s="4"/>
      <c r="E48" s="4"/>
      <c r="F48" s="107" t="s">
        <v>59</v>
      </c>
      <c r="G48" s="8">
        <f>SUM(G41:G47)</f>
        <v>206.90640000000002</v>
      </c>
    </row>
    <row r="50" spans="1:7" x14ac:dyDescent="0.25">
      <c r="A50" s="1" t="s">
        <v>41</v>
      </c>
      <c r="B50" s="107" t="s">
        <v>100</v>
      </c>
      <c r="C50" s="107" t="s">
        <v>101</v>
      </c>
      <c r="D50" s="107" t="s">
        <v>105</v>
      </c>
      <c r="E50" s="107" t="s">
        <v>104</v>
      </c>
      <c r="F50" s="107" t="s">
        <v>103</v>
      </c>
    </row>
    <row r="51" spans="1:7" x14ac:dyDescent="0.25">
      <c r="B51" s="132">
        <f>'INFORMACION INICIAL'!C10</f>
        <v>0.5</v>
      </c>
      <c r="C51" s="8">
        <f>C47*3</f>
        <v>36</v>
      </c>
      <c r="D51" s="13">
        <f>'INFORMACION INICIAL'!C3</f>
        <v>-1.8</v>
      </c>
      <c r="E51" s="107">
        <v>18</v>
      </c>
      <c r="F51" s="13">
        <f>B51*C51*1.2*1*(E51-D51)/3.6</f>
        <v>118.79999999999998</v>
      </c>
    </row>
    <row r="53" spans="1:7" x14ac:dyDescent="0.25">
      <c r="A53" s="1" t="s">
        <v>42</v>
      </c>
      <c r="B53" s="107" t="s">
        <v>107</v>
      </c>
      <c r="C53" s="107" t="s">
        <v>105</v>
      </c>
      <c r="D53" s="107" t="s">
        <v>104</v>
      </c>
      <c r="E53" s="107" t="s">
        <v>103</v>
      </c>
    </row>
    <row r="54" spans="1:7" x14ac:dyDescent="0.25">
      <c r="B54" s="65">
        <f>'VENTILACION SUPER-PERS'!G71*3.6</f>
        <v>126</v>
      </c>
      <c r="C54" s="13">
        <f>'INFORMACION INICIAL'!C3</f>
        <v>-1.8</v>
      </c>
      <c r="D54" s="107">
        <v>18</v>
      </c>
      <c r="E54" s="13">
        <f>B54*1.2*1*(D54-C54)/3.6</f>
        <v>831.59999999999991</v>
      </c>
    </row>
    <row r="56" spans="1:7" x14ac:dyDescent="0.25">
      <c r="B56" s="180" t="s">
        <v>295</v>
      </c>
      <c r="C56" s="180"/>
      <c r="D56" s="180"/>
      <c r="E56" s="180"/>
      <c r="F56" s="180"/>
      <c r="G56" s="180"/>
    </row>
    <row r="58" spans="1:7" x14ac:dyDescent="0.25">
      <c r="A58" s="1" t="s">
        <v>58</v>
      </c>
      <c r="B58" s="32" t="s">
        <v>40</v>
      </c>
      <c r="C58" s="107" t="s">
        <v>102</v>
      </c>
      <c r="D58" s="107" t="s">
        <v>106</v>
      </c>
      <c r="E58" s="107" t="s">
        <v>105</v>
      </c>
      <c r="F58" s="107" t="s">
        <v>104</v>
      </c>
      <c r="G58" s="107" t="s">
        <v>103</v>
      </c>
    </row>
    <row r="59" spans="1:7" x14ac:dyDescent="0.25">
      <c r="B59" s="31" t="s">
        <v>43</v>
      </c>
      <c r="C59" s="8">
        <f>3*3.43</f>
        <v>10.290000000000001</v>
      </c>
      <c r="D59" s="132">
        <v>0.36</v>
      </c>
      <c r="E59" s="13">
        <f>'INFORMACION INICIAL'!C4</f>
        <v>10</v>
      </c>
      <c r="F59" s="107">
        <v>18</v>
      </c>
      <c r="G59" s="8">
        <f t="shared" ref="G59:G60" si="6">C59*D59*(F59-E59)</f>
        <v>29.635200000000001</v>
      </c>
    </row>
    <row r="60" spans="1:7" x14ac:dyDescent="0.25">
      <c r="B60" s="32" t="s">
        <v>44</v>
      </c>
      <c r="C60" s="8">
        <f>C59</f>
        <v>10.290000000000001</v>
      </c>
      <c r="D60" s="132">
        <v>0.36</v>
      </c>
      <c r="E60" s="13">
        <f>'INFORMACION INICIAL'!C4</f>
        <v>10</v>
      </c>
      <c r="F60" s="130">
        <v>18</v>
      </c>
      <c r="G60" s="8">
        <f t="shared" si="6"/>
        <v>29.635200000000001</v>
      </c>
    </row>
    <row r="61" spans="1:7" x14ac:dyDescent="0.25">
      <c r="B61" s="32" t="s">
        <v>45</v>
      </c>
      <c r="C61" s="8">
        <f>2.28*3</f>
        <v>6.84</v>
      </c>
      <c r="D61" s="132">
        <v>0.36</v>
      </c>
      <c r="E61" s="13">
        <f>'INFORMACION INICIAL'!C4</f>
        <v>10</v>
      </c>
      <c r="F61" s="130">
        <v>18</v>
      </c>
      <c r="G61" s="8">
        <f>C61*D61*(F61-E61)</f>
        <v>19.699199999999998</v>
      </c>
    </row>
    <row r="62" spans="1:7" x14ac:dyDescent="0.25">
      <c r="B62" s="32" t="s">
        <v>46</v>
      </c>
      <c r="C62" s="8">
        <f>C61</f>
        <v>6.84</v>
      </c>
      <c r="D62" s="132">
        <v>0.36</v>
      </c>
      <c r="E62" s="13">
        <f>'INFORMACION INICIAL'!C4</f>
        <v>10</v>
      </c>
      <c r="F62" s="130">
        <v>18</v>
      </c>
      <c r="G62" s="8">
        <f>C62*D62*(F62-E62)</f>
        <v>19.699199999999998</v>
      </c>
    </row>
    <row r="63" spans="1:7" x14ac:dyDescent="0.25">
      <c r="B63" s="32" t="s">
        <v>49</v>
      </c>
      <c r="C63" s="8">
        <v>0</v>
      </c>
      <c r="D63" s="132">
        <v>1.8</v>
      </c>
      <c r="E63" s="13">
        <f>'INFORMACION INICIAL'!C3</f>
        <v>-1.8</v>
      </c>
      <c r="F63" s="130">
        <v>18</v>
      </c>
      <c r="G63" s="8">
        <f t="shared" ref="G63:G64" si="7">C63*D63*(F63-E63)</f>
        <v>0</v>
      </c>
    </row>
    <row r="64" spans="1:7" x14ac:dyDescent="0.25">
      <c r="B64" s="32" t="s">
        <v>47</v>
      </c>
      <c r="C64" s="8">
        <f>C65</f>
        <v>7.2</v>
      </c>
      <c r="D64" s="132">
        <v>0.21</v>
      </c>
      <c r="E64" s="13">
        <f>'INFORMACION INICIAL'!C3</f>
        <v>-1.8</v>
      </c>
      <c r="F64" s="130">
        <v>18</v>
      </c>
      <c r="G64" s="8">
        <f t="shared" si="7"/>
        <v>29.9376</v>
      </c>
    </row>
    <row r="65" spans="1:7" x14ac:dyDescent="0.25">
      <c r="B65" s="32" t="s">
        <v>48</v>
      </c>
      <c r="C65" s="8">
        <f>'VENTILACION SUPER-PERS'!D63</f>
        <v>7.2</v>
      </c>
      <c r="D65" s="132">
        <v>0.71</v>
      </c>
      <c r="E65" s="13">
        <v>0</v>
      </c>
      <c r="F65" s="130">
        <v>18</v>
      </c>
      <c r="G65" s="8">
        <f>'VENTILACION SUPER-PERS'!D159*D65*(F65-E65)</f>
        <v>0</v>
      </c>
    </row>
    <row r="66" spans="1:7" x14ac:dyDescent="0.25">
      <c r="B66" s="4"/>
      <c r="C66" s="4"/>
      <c r="D66" s="4"/>
      <c r="E66" s="4"/>
      <c r="F66" s="107" t="s">
        <v>59</v>
      </c>
      <c r="G66" s="8">
        <f>SUM(G59:G65)</f>
        <v>128.60640000000001</v>
      </c>
    </row>
    <row r="68" spans="1:7" x14ac:dyDescent="0.25">
      <c r="A68" s="1" t="s">
        <v>41</v>
      </c>
      <c r="B68" s="107" t="s">
        <v>100</v>
      </c>
      <c r="C68" s="107" t="s">
        <v>101</v>
      </c>
      <c r="D68" s="107" t="s">
        <v>105</v>
      </c>
      <c r="E68" s="107" t="s">
        <v>104</v>
      </c>
      <c r="F68" s="107" t="s">
        <v>103</v>
      </c>
    </row>
    <row r="69" spans="1:7" x14ac:dyDescent="0.25">
      <c r="B69" s="132">
        <f>'INFORMACION INICIAL'!C10</f>
        <v>0.5</v>
      </c>
      <c r="C69" s="8">
        <f>C65*3</f>
        <v>21.6</v>
      </c>
      <c r="D69" s="13">
        <f>'INFORMACION INICIAL'!C3</f>
        <v>-1.8</v>
      </c>
      <c r="E69" s="107">
        <v>18</v>
      </c>
      <c r="F69" s="8">
        <f>B69*C69*1.2*1*(E69-D69)/3.6</f>
        <v>71.28</v>
      </c>
    </row>
    <row r="71" spans="1:7" x14ac:dyDescent="0.25">
      <c r="A71" s="1" t="s">
        <v>42</v>
      </c>
      <c r="B71" s="107" t="s">
        <v>107</v>
      </c>
      <c r="C71" s="107" t="s">
        <v>105</v>
      </c>
      <c r="D71" s="107" t="s">
        <v>104</v>
      </c>
      <c r="E71" s="107" t="s">
        <v>103</v>
      </c>
    </row>
    <row r="72" spans="1:7" x14ac:dyDescent="0.25">
      <c r="B72" s="8">
        <f>'VENTILACION SUPER-PERS'!G63*3.6</f>
        <v>126</v>
      </c>
      <c r="C72" s="13">
        <f>'INFORMACION INICIAL'!C3</f>
        <v>-1.8</v>
      </c>
      <c r="D72" s="107">
        <v>18</v>
      </c>
      <c r="E72" s="13">
        <f>B72*1.2*1*(D72-C72)/3.6</f>
        <v>831.59999999999991</v>
      </c>
    </row>
    <row r="74" spans="1:7" x14ac:dyDescent="0.25">
      <c r="B74" s="180" t="s">
        <v>289</v>
      </c>
      <c r="C74" s="180"/>
      <c r="D74" s="180"/>
      <c r="E74" s="180"/>
      <c r="F74" s="180"/>
      <c r="G74" s="180"/>
    </row>
    <row r="76" spans="1:7" x14ac:dyDescent="0.25">
      <c r="A76" s="1" t="s">
        <v>58</v>
      </c>
      <c r="B76" s="32" t="s">
        <v>40</v>
      </c>
      <c r="C76" s="107" t="s">
        <v>102</v>
      </c>
      <c r="D76" s="107" t="s">
        <v>106</v>
      </c>
      <c r="E76" s="107" t="s">
        <v>105</v>
      </c>
      <c r="F76" s="107" t="s">
        <v>104</v>
      </c>
      <c r="G76" s="107" t="s">
        <v>103</v>
      </c>
    </row>
    <row r="77" spans="1:7" x14ac:dyDescent="0.25">
      <c r="B77" s="31" t="s">
        <v>43</v>
      </c>
      <c r="C77" s="8">
        <f>2.2*3</f>
        <v>6.6000000000000005</v>
      </c>
      <c r="D77" s="132">
        <v>0.36</v>
      </c>
      <c r="E77" s="13">
        <f>'INFORMACION INICIAL'!C4</f>
        <v>10</v>
      </c>
      <c r="F77" s="107">
        <v>18</v>
      </c>
      <c r="G77" s="8">
        <f t="shared" ref="G77:G78" si="8">C77*D77*(F77-E77)</f>
        <v>19.007999999999999</v>
      </c>
    </row>
    <row r="78" spans="1:7" x14ac:dyDescent="0.25">
      <c r="B78" s="32" t="s">
        <v>44</v>
      </c>
      <c r="C78" s="8">
        <f>C77</f>
        <v>6.6000000000000005</v>
      </c>
      <c r="D78" s="132">
        <v>0.36</v>
      </c>
      <c r="E78" s="13">
        <f>'INFORMACION INICIAL'!C4</f>
        <v>10</v>
      </c>
      <c r="F78" s="107">
        <v>18</v>
      </c>
      <c r="G78" s="8">
        <f t="shared" si="8"/>
        <v>19.007999999999999</v>
      </c>
    </row>
    <row r="79" spans="1:7" x14ac:dyDescent="0.25">
      <c r="B79" s="32" t="s">
        <v>45</v>
      </c>
      <c r="C79" s="8">
        <f>1.8*3</f>
        <v>5.4</v>
      </c>
      <c r="D79" s="132">
        <v>0.36</v>
      </c>
      <c r="E79" s="13">
        <f>'INFORMACION INICIAL'!C4</f>
        <v>10</v>
      </c>
      <c r="F79" s="107">
        <v>18</v>
      </c>
      <c r="G79" s="8">
        <f>C79*D79*(F79-E79)</f>
        <v>15.552</v>
      </c>
    </row>
    <row r="80" spans="1:7" x14ac:dyDescent="0.25">
      <c r="B80" s="32" t="s">
        <v>46</v>
      </c>
      <c r="C80" s="8">
        <f>1.8*3-C81</f>
        <v>5.4</v>
      </c>
      <c r="D80" s="132">
        <v>0.36</v>
      </c>
      <c r="E80" s="13">
        <f>'INFORMACION INICIAL'!C3</f>
        <v>-1.8</v>
      </c>
      <c r="F80" s="107">
        <v>18</v>
      </c>
      <c r="G80" s="8">
        <f>C80*D80*(F80-E80)</f>
        <v>38.491199999999999</v>
      </c>
    </row>
    <row r="81" spans="1:7" x14ac:dyDescent="0.25">
      <c r="B81" s="32" t="s">
        <v>49</v>
      </c>
      <c r="C81" s="8">
        <v>0</v>
      </c>
      <c r="D81" s="132">
        <v>1.8</v>
      </c>
      <c r="E81" s="13">
        <f>'INFORMACION INICIAL'!C4</f>
        <v>10</v>
      </c>
      <c r="F81" s="107">
        <v>18</v>
      </c>
      <c r="G81" s="8">
        <f t="shared" ref="G81:G82" si="9">C81*D81*(F81-E81)</f>
        <v>0</v>
      </c>
    </row>
    <row r="82" spans="1:7" x14ac:dyDescent="0.25">
      <c r="B82" s="32" t="s">
        <v>47</v>
      </c>
      <c r="C82" s="8">
        <f>C83</f>
        <v>4</v>
      </c>
      <c r="D82" s="132">
        <v>0.21</v>
      </c>
      <c r="E82" s="13">
        <f>'INFORMACION INICIAL'!C3</f>
        <v>-1.8</v>
      </c>
      <c r="F82" s="107">
        <v>18</v>
      </c>
      <c r="G82" s="8">
        <f t="shared" si="9"/>
        <v>16.632000000000001</v>
      </c>
    </row>
    <row r="83" spans="1:7" x14ac:dyDescent="0.25">
      <c r="B83" s="32" t="s">
        <v>48</v>
      </c>
      <c r="C83" s="8">
        <f>'VENTILACION SUPER-PERS'!D65</f>
        <v>4</v>
      </c>
      <c r="D83" s="132">
        <v>0.71</v>
      </c>
      <c r="E83" s="13">
        <f>'INFORMACION INICIAL'!C137</f>
        <v>0</v>
      </c>
      <c r="F83" s="107">
        <v>18</v>
      </c>
      <c r="G83" s="8">
        <f>C83*D83*(F83-E83)</f>
        <v>51.12</v>
      </c>
    </row>
    <row r="84" spans="1:7" x14ac:dyDescent="0.25">
      <c r="B84" s="4"/>
      <c r="C84" s="4"/>
      <c r="D84" s="4"/>
      <c r="E84" s="4"/>
      <c r="F84" s="107" t="s">
        <v>59</v>
      </c>
      <c r="G84" s="8">
        <f>SUM(G77:G83)</f>
        <v>159.81120000000001</v>
      </c>
    </row>
    <row r="86" spans="1:7" x14ac:dyDescent="0.25">
      <c r="A86" s="1" t="s">
        <v>41</v>
      </c>
      <c r="B86" s="107" t="s">
        <v>100</v>
      </c>
      <c r="C86" s="107" t="s">
        <v>101</v>
      </c>
      <c r="D86" s="107" t="s">
        <v>105</v>
      </c>
      <c r="E86" s="107" t="s">
        <v>104</v>
      </c>
      <c r="F86" s="107" t="s">
        <v>103</v>
      </c>
    </row>
    <row r="87" spans="1:7" x14ac:dyDescent="0.25">
      <c r="B87" s="132">
        <f>'INFORMACION INICIAL'!C10</f>
        <v>0.5</v>
      </c>
      <c r="C87" s="8">
        <f>C83*3</f>
        <v>12</v>
      </c>
      <c r="D87" s="13">
        <f>'INFORMACION INICIAL'!C3</f>
        <v>-1.8</v>
      </c>
      <c r="E87" s="107">
        <v>18</v>
      </c>
      <c r="F87" s="8">
        <f>B87*C87*1.2*1*(E87-D87)/3.6</f>
        <v>39.6</v>
      </c>
    </row>
    <row r="89" spans="1:7" x14ac:dyDescent="0.25">
      <c r="A89" s="1" t="s">
        <v>42</v>
      </c>
      <c r="B89" s="107" t="s">
        <v>107</v>
      </c>
      <c r="C89" s="107" t="s">
        <v>105</v>
      </c>
      <c r="D89" s="107" t="s">
        <v>104</v>
      </c>
      <c r="E89" s="107" t="s">
        <v>103</v>
      </c>
    </row>
    <row r="90" spans="1:7" x14ac:dyDescent="0.25">
      <c r="B90" s="8">
        <f>'VENTILACION SUPER-PERS'!G65*3.6</f>
        <v>126</v>
      </c>
      <c r="C90" s="13">
        <f>'INFORMACION INICIAL'!C3</f>
        <v>-1.8</v>
      </c>
      <c r="D90" s="107">
        <v>18</v>
      </c>
      <c r="E90" s="13">
        <f>B90*1.2*1*(D90-C90)/3.6</f>
        <v>831.59999999999991</v>
      </c>
    </row>
    <row r="92" spans="1:7" x14ac:dyDescent="0.25">
      <c r="B92" s="180" t="s">
        <v>276</v>
      </c>
      <c r="C92" s="180"/>
      <c r="D92" s="180"/>
      <c r="E92" s="180"/>
      <c r="F92" s="180"/>
      <c r="G92" s="180"/>
    </row>
    <row r="94" spans="1:7" x14ac:dyDescent="0.25">
      <c r="A94" s="1" t="s">
        <v>58</v>
      </c>
      <c r="B94" s="32" t="s">
        <v>40</v>
      </c>
      <c r="C94" s="107" t="s">
        <v>102</v>
      </c>
      <c r="D94" s="107" t="s">
        <v>106</v>
      </c>
      <c r="E94" s="107" t="s">
        <v>105</v>
      </c>
      <c r="F94" s="107" t="s">
        <v>104</v>
      </c>
      <c r="G94" s="107" t="s">
        <v>103</v>
      </c>
    </row>
    <row r="95" spans="1:7" x14ac:dyDescent="0.25">
      <c r="B95" s="31" t="s">
        <v>43</v>
      </c>
      <c r="C95" s="8">
        <f>2.3*3</f>
        <v>6.8999999999999995</v>
      </c>
      <c r="D95" s="132">
        <v>0.36</v>
      </c>
      <c r="E95" s="13">
        <f>'INFORMACION INICIAL'!C4</f>
        <v>10</v>
      </c>
      <c r="F95" s="107">
        <v>18</v>
      </c>
      <c r="G95" s="8">
        <f t="shared" ref="G95:G96" si="10">C95*D95*(F95-E95)</f>
        <v>19.871999999999996</v>
      </c>
    </row>
    <row r="96" spans="1:7" x14ac:dyDescent="0.25">
      <c r="B96" s="32" t="s">
        <v>44</v>
      </c>
      <c r="C96" s="8">
        <f>C95</f>
        <v>6.8999999999999995</v>
      </c>
      <c r="D96" s="132">
        <v>0.36</v>
      </c>
      <c r="E96" s="13">
        <f>'INFORMACION INICIAL'!C4</f>
        <v>10</v>
      </c>
      <c r="F96" s="130">
        <v>18</v>
      </c>
      <c r="G96" s="8">
        <f t="shared" si="10"/>
        <v>19.871999999999996</v>
      </c>
    </row>
    <row r="97" spans="1:7" x14ac:dyDescent="0.25">
      <c r="B97" s="32" t="s">
        <v>45</v>
      </c>
      <c r="C97" s="8">
        <f>1.95*3</f>
        <v>5.85</v>
      </c>
      <c r="D97" s="132">
        <v>0.36</v>
      </c>
      <c r="E97" s="13">
        <f>'INFORMACION INICIAL'!C4</f>
        <v>10</v>
      </c>
      <c r="F97" s="130">
        <v>18</v>
      </c>
      <c r="G97" s="8">
        <f>C97*D97*(F97-E97)</f>
        <v>16.847999999999999</v>
      </c>
    </row>
    <row r="98" spans="1:7" x14ac:dyDescent="0.25">
      <c r="B98" s="32" t="s">
        <v>46</v>
      </c>
      <c r="C98" s="8">
        <f>C97</f>
        <v>5.85</v>
      </c>
      <c r="D98" s="132">
        <v>0.36</v>
      </c>
      <c r="E98" s="13">
        <f>'INFORMACION INICIAL'!C4</f>
        <v>10</v>
      </c>
      <c r="F98" s="130">
        <v>18</v>
      </c>
      <c r="G98" s="8">
        <f>C98*D98*(F98-E98)</f>
        <v>16.847999999999999</v>
      </c>
    </row>
    <row r="99" spans="1:7" x14ac:dyDescent="0.25">
      <c r="B99" s="32" t="s">
        <v>49</v>
      </c>
      <c r="C99" s="8">
        <v>0</v>
      </c>
      <c r="D99" s="132">
        <v>1.8</v>
      </c>
      <c r="E99" s="13">
        <f>'INFORMACION INICIAL'!C4</f>
        <v>10</v>
      </c>
      <c r="F99" s="130">
        <v>18</v>
      </c>
      <c r="G99" s="8">
        <f t="shared" ref="G99:G100" si="11">C99*D99*(F99-E99)</f>
        <v>0</v>
      </c>
    </row>
    <row r="100" spans="1:7" x14ac:dyDescent="0.25">
      <c r="B100" s="32" t="s">
        <v>47</v>
      </c>
      <c r="C100" s="8">
        <f>C101</f>
        <v>4.5</v>
      </c>
      <c r="D100" s="132">
        <v>0.21</v>
      </c>
      <c r="E100" s="13">
        <f>'INFORMACION INICIAL'!C3</f>
        <v>-1.8</v>
      </c>
      <c r="F100" s="130">
        <v>18</v>
      </c>
      <c r="G100" s="8">
        <f t="shared" si="11"/>
        <v>18.710999999999999</v>
      </c>
    </row>
    <row r="101" spans="1:7" x14ac:dyDescent="0.25">
      <c r="B101" s="32" t="s">
        <v>48</v>
      </c>
      <c r="C101" s="8">
        <f>'VENTILACION SUPER-PERS'!D69</f>
        <v>4.5</v>
      </c>
      <c r="D101" s="132">
        <v>0.71</v>
      </c>
      <c r="E101" s="13">
        <f>'INFORMACION INICIAL'!C156</f>
        <v>0</v>
      </c>
      <c r="F101" s="130">
        <v>18</v>
      </c>
      <c r="G101" s="8">
        <f>C101*D101*(F101-E101)</f>
        <v>57.51</v>
      </c>
    </row>
    <row r="102" spans="1:7" x14ac:dyDescent="0.25">
      <c r="B102" s="4"/>
      <c r="C102" s="4"/>
      <c r="D102" s="4"/>
      <c r="E102" s="4"/>
      <c r="F102" s="107" t="s">
        <v>59</v>
      </c>
      <c r="G102" s="8">
        <f>SUM(G95:G101)</f>
        <v>149.661</v>
      </c>
    </row>
    <row r="104" spans="1:7" x14ac:dyDescent="0.25">
      <c r="A104" s="1" t="s">
        <v>41</v>
      </c>
      <c r="B104" s="107" t="s">
        <v>100</v>
      </c>
      <c r="C104" s="107" t="s">
        <v>101</v>
      </c>
      <c r="D104" s="107" t="s">
        <v>105</v>
      </c>
      <c r="E104" s="107" t="s">
        <v>104</v>
      </c>
      <c r="F104" s="107" t="s">
        <v>103</v>
      </c>
    </row>
    <row r="105" spans="1:7" x14ac:dyDescent="0.25">
      <c r="B105" s="132">
        <f>'INFORMACION INICIAL'!C10</f>
        <v>0.5</v>
      </c>
      <c r="C105" s="8">
        <f>C101*3</f>
        <v>13.5</v>
      </c>
      <c r="D105" s="13">
        <f>'INFORMACION INICIAL'!C3</f>
        <v>-1.8</v>
      </c>
      <c r="E105" s="107">
        <v>18</v>
      </c>
      <c r="F105" s="8">
        <f>B105*C105*1.2*1*(E105-D105)/3.6</f>
        <v>44.55</v>
      </c>
    </row>
    <row r="107" spans="1:7" x14ac:dyDescent="0.25">
      <c r="A107" s="1" t="s">
        <v>42</v>
      </c>
      <c r="B107" s="107" t="s">
        <v>107</v>
      </c>
      <c r="C107" s="107" t="s">
        <v>105</v>
      </c>
      <c r="D107" s="107" t="s">
        <v>104</v>
      </c>
      <c r="E107" s="107" t="s">
        <v>103</v>
      </c>
    </row>
    <row r="108" spans="1:7" x14ac:dyDescent="0.25">
      <c r="B108" s="8">
        <f>'VENTILACION SUPER-PERS'!G69*3.6</f>
        <v>126</v>
      </c>
      <c r="C108" s="13">
        <f>'INFORMACION INICIAL'!C3</f>
        <v>-1.8</v>
      </c>
      <c r="D108" s="107">
        <v>18</v>
      </c>
      <c r="E108" s="13">
        <f>B108*1.2*1*(D108-C108)/3.6</f>
        <v>831.59999999999991</v>
      </c>
    </row>
    <row r="110" spans="1:7" x14ac:dyDescent="0.25">
      <c r="B110" s="180" t="s">
        <v>296</v>
      </c>
      <c r="C110" s="180"/>
      <c r="D110" s="180"/>
      <c r="E110" s="180"/>
      <c r="F110" s="180"/>
      <c r="G110" s="180"/>
    </row>
    <row r="112" spans="1:7" x14ac:dyDescent="0.25">
      <c r="A112" s="1" t="s">
        <v>58</v>
      </c>
      <c r="B112" s="32" t="s">
        <v>40</v>
      </c>
      <c r="C112" s="107" t="s">
        <v>102</v>
      </c>
      <c r="D112" s="107" t="s">
        <v>106</v>
      </c>
      <c r="E112" s="107" t="s">
        <v>105</v>
      </c>
      <c r="F112" s="107" t="s">
        <v>104</v>
      </c>
      <c r="G112" s="107" t="s">
        <v>103</v>
      </c>
    </row>
    <row r="113" spans="1:7" x14ac:dyDescent="0.25">
      <c r="B113" s="31" t="s">
        <v>43</v>
      </c>
      <c r="C113" s="8">
        <f>3.1*3</f>
        <v>9.3000000000000007</v>
      </c>
      <c r="D113" s="132">
        <v>0.36</v>
      </c>
      <c r="E113" s="13">
        <f>'INFORMACION INICIAL'!C4</f>
        <v>10</v>
      </c>
      <c r="F113" s="107">
        <v>18</v>
      </c>
      <c r="G113" s="8">
        <f t="shared" ref="G113:G114" si="12">C113*D113*(F113-E113)</f>
        <v>26.784000000000002</v>
      </c>
    </row>
    <row r="114" spans="1:7" x14ac:dyDescent="0.25">
      <c r="B114" s="32" t="s">
        <v>44</v>
      </c>
      <c r="C114" s="8">
        <f>C113</f>
        <v>9.3000000000000007</v>
      </c>
      <c r="D114" s="132">
        <v>0.36</v>
      </c>
      <c r="E114" s="13">
        <f>'INFORMACION INICIAL'!C4</f>
        <v>10</v>
      </c>
      <c r="F114" s="130">
        <v>18</v>
      </c>
      <c r="G114" s="8">
        <f t="shared" si="12"/>
        <v>26.784000000000002</v>
      </c>
    </row>
    <row r="115" spans="1:7" x14ac:dyDescent="0.25">
      <c r="B115" s="32" t="s">
        <v>45</v>
      </c>
      <c r="C115" s="8">
        <f>3.8*3</f>
        <v>11.399999999999999</v>
      </c>
      <c r="D115" s="132">
        <v>0.36</v>
      </c>
      <c r="E115" s="13">
        <f>'INFORMACION INICIAL'!C4</f>
        <v>10</v>
      </c>
      <c r="F115" s="130">
        <v>18</v>
      </c>
      <c r="G115" s="8">
        <f>C115*D115*(F115-E115)</f>
        <v>32.831999999999994</v>
      </c>
    </row>
    <row r="116" spans="1:7" x14ac:dyDescent="0.25">
      <c r="B116" s="32" t="s">
        <v>46</v>
      </c>
      <c r="C116" s="8">
        <f>C115</f>
        <v>11.399999999999999</v>
      </c>
      <c r="D116" s="132">
        <v>0.36</v>
      </c>
      <c r="E116" s="13">
        <f>'INFORMACION INICIAL'!C3</f>
        <v>-1.8</v>
      </c>
      <c r="F116" s="130">
        <v>18</v>
      </c>
      <c r="G116" s="8">
        <f>C116*D116*(F116-E116)</f>
        <v>81.259199999999993</v>
      </c>
    </row>
    <row r="117" spans="1:7" x14ac:dyDescent="0.25">
      <c r="B117" s="32" t="s">
        <v>49</v>
      </c>
      <c r="C117" s="8">
        <v>0</v>
      </c>
      <c r="D117" s="132">
        <v>1.8</v>
      </c>
      <c r="E117" s="13">
        <f>'INFORMACION INICIAL'!C3</f>
        <v>-1.8</v>
      </c>
      <c r="F117" s="130">
        <v>18</v>
      </c>
      <c r="G117" s="8">
        <f t="shared" ref="G117:G118" si="13">C117*D117*(F117-E117)</f>
        <v>0</v>
      </c>
    </row>
    <row r="118" spans="1:7" x14ac:dyDescent="0.25">
      <c r="B118" s="32" t="s">
        <v>47</v>
      </c>
      <c r="C118" s="8">
        <f>C119</f>
        <v>15.27</v>
      </c>
      <c r="D118" s="132">
        <v>0.21</v>
      </c>
      <c r="E118" s="13">
        <f>'INFORMACION INICIAL'!C3</f>
        <v>-1.8</v>
      </c>
      <c r="F118" s="130">
        <v>18</v>
      </c>
      <c r="G118" s="8">
        <f t="shared" si="13"/>
        <v>63.492659999999994</v>
      </c>
    </row>
    <row r="119" spans="1:7" x14ac:dyDescent="0.25">
      <c r="B119" s="32" t="s">
        <v>48</v>
      </c>
      <c r="C119" s="8">
        <f>'VENTILACION SUPER-PERS'!D75</f>
        <v>15.27</v>
      </c>
      <c r="D119" s="132">
        <v>0.71</v>
      </c>
      <c r="E119" s="13">
        <f>'INFORMACION INICIAL'!C175</f>
        <v>0</v>
      </c>
      <c r="F119" s="130">
        <v>18</v>
      </c>
      <c r="G119" s="8">
        <f>C119*D119*(F119-E119)</f>
        <v>195.1506</v>
      </c>
    </row>
    <row r="120" spans="1:7" x14ac:dyDescent="0.25">
      <c r="B120" s="4"/>
      <c r="C120" s="4"/>
      <c r="D120" s="4"/>
      <c r="E120" s="4"/>
      <c r="F120" s="107" t="s">
        <v>59</v>
      </c>
      <c r="G120" s="8">
        <f>SUM(G113:G119)</f>
        <v>426.30246</v>
      </c>
    </row>
    <row r="122" spans="1:7" x14ac:dyDescent="0.25">
      <c r="A122" s="1" t="s">
        <v>41</v>
      </c>
      <c r="B122" s="107" t="s">
        <v>100</v>
      </c>
      <c r="C122" s="107" t="s">
        <v>101</v>
      </c>
      <c r="D122" s="107" t="s">
        <v>105</v>
      </c>
      <c r="E122" s="107" t="s">
        <v>104</v>
      </c>
      <c r="F122" s="107" t="s">
        <v>103</v>
      </c>
    </row>
    <row r="123" spans="1:7" x14ac:dyDescent="0.25">
      <c r="B123" s="132">
        <f>'INFORMACION INICIAL'!C10</f>
        <v>0.5</v>
      </c>
      <c r="C123" s="8">
        <f>C119*3</f>
        <v>45.81</v>
      </c>
      <c r="D123" s="13">
        <f>'INFORMACION INICIAL'!C3</f>
        <v>-1.8</v>
      </c>
      <c r="E123" s="107">
        <v>18</v>
      </c>
      <c r="F123" s="8">
        <f>B141*C141*1.2*1*(E141-D141)/3.6</f>
        <v>287.09999999999997</v>
      </c>
    </row>
    <row r="125" spans="1:7" x14ac:dyDescent="0.25">
      <c r="A125" s="1" t="s">
        <v>42</v>
      </c>
      <c r="B125" s="107" t="s">
        <v>107</v>
      </c>
      <c r="C125" s="107" t="s">
        <v>105</v>
      </c>
      <c r="D125" s="107" t="s">
        <v>104</v>
      </c>
      <c r="E125" s="107" t="s">
        <v>103</v>
      </c>
    </row>
    <row r="126" spans="1:7" x14ac:dyDescent="0.25">
      <c r="B126" s="8">
        <f>'VENTILACION SUPER-PERS'!G75*3.6</f>
        <v>126</v>
      </c>
      <c r="C126" s="13">
        <f>'INFORMACION INICIAL'!C3</f>
        <v>-1.8</v>
      </c>
      <c r="D126" s="107">
        <v>18</v>
      </c>
      <c r="E126" s="13">
        <f>B126*1.2*1*(D126-C126)/3.6</f>
        <v>831.59999999999991</v>
      </c>
    </row>
    <row r="128" spans="1:7" x14ac:dyDescent="0.25">
      <c r="B128" s="180" t="s">
        <v>299</v>
      </c>
      <c r="C128" s="180"/>
      <c r="D128" s="180"/>
      <c r="E128" s="180"/>
      <c r="F128" s="180"/>
      <c r="G128" s="180"/>
    </row>
    <row r="130" spans="1:7" x14ac:dyDescent="0.25">
      <c r="A130" s="1" t="s">
        <v>58</v>
      </c>
      <c r="B130" s="32" t="s">
        <v>40</v>
      </c>
      <c r="C130" s="107" t="s">
        <v>102</v>
      </c>
      <c r="D130" s="107" t="s">
        <v>106</v>
      </c>
      <c r="E130" s="107" t="s">
        <v>105</v>
      </c>
      <c r="F130" s="107" t="s">
        <v>104</v>
      </c>
      <c r="G130" s="107" t="s">
        <v>103</v>
      </c>
    </row>
    <row r="131" spans="1:7" x14ac:dyDescent="0.25">
      <c r="B131" s="31" t="s">
        <v>43</v>
      </c>
      <c r="C131" s="8">
        <f>3.7*3</f>
        <v>11.100000000000001</v>
      </c>
      <c r="D131" s="132">
        <v>0.36</v>
      </c>
      <c r="E131" s="13">
        <f>'INFORMACION INICIAL'!C4</f>
        <v>10</v>
      </c>
      <c r="F131" s="132">
        <v>18</v>
      </c>
      <c r="G131" s="8">
        <f t="shared" ref="G131:G132" si="14">C131*D131*(F131-E131)</f>
        <v>31.968000000000004</v>
      </c>
    </row>
    <row r="132" spans="1:7" x14ac:dyDescent="0.25">
      <c r="B132" s="32" t="s">
        <v>44</v>
      </c>
      <c r="C132" s="8">
        <f>C131</f>
        <v>11.100000000000001</v>
      </c>
      <c r="D132" s="132">
        <v>0.36</v>
      </c>
      <c r="E132" s="13">
        <f>'INFORMACION INICIAL'!C3</f>
        <v>-1.8</v>
      </c>
      <c r="F132" s="107">
        <v>18</v>
      </c>
      <c r="G132" s="8">
        <f t="shared" si="14"/>
        <v>79.120800000000017</v>
      </c>
    </row>
    <row r="133" spans="1:7" x14ac:dyDescent="0.25">
      <c r="B133" s="32" t="s">
        <v>45</v>
      </c>
      <c r="C133" s="8">
        <f>C134-C135</f>
        <v>24.599999999999998</v>
      </c>
      <c r="D133" s="132">
        <v>0.36</v>
      </c>
      <c r="E133" s="13">
        <f>'INFORMACION INICIAL'!C3</f>
        <v>-1.8</v>
      </c>
      <c r="F133" s="107">
        <v>18</v>
      </c>
      <c r="G133" s="8">
        <f>C133*D133*(F133-E133)</f>
        <v>175.34879999999995</v>
      </c>
    </row>
    <row r="134" spans="1:7" x14ac:dyDescent="0.25">
      <c r="B134" s="32" t="s">
        <v>46</v>
      </c>
      <c r="C134" s="8">
        <f>8.2*3</f>
        <v>24.599999999999998</v>
      </c>
      <c r="D134" s="132">
        <v>0.36</v>
      </c>
      <c r="E134" s="13">
        <f>'INFORMACION INICIAL'!C3</f>
        <v>-1.8</v>
      </c>
      <c r="F134" s="107">
        <v>18</v>
      </c>
      <c r="G134" s="8">
        <f>C134*D134*(F134-E134)</f>
        <v>175.34879999999995</v>
      </c>
    </row>
    <row r="135" spans="1:7" x14ac:dyDescent="0.25">
      <c r="B135" s="32" t="s">
        <v>49</v>
      </c>
      <c r="C135" s="8"/>
      <c r="D135" s="132">
        <v>1.8</v>
      </c>
      <c r="E135" s="13">
        <f>'INFORMACION INICIAL'!C3</f>
        <v>-1.8</v>
      </c>
      <c r="F135" s="107">
        <v>18</v>
      </c>
      <c r="G135" s="8">
        <f t="shared" ref="G135:G136" si="15">C135*D135*(F135-E135)</f>
        <v>0</v>
      </c>
    </row>
    <row r="136" spans="1:7" x14ac:dyDescent="0.25">
      <c r="B136" s="32" t="s">
        <v>47</v>
      </c>
      <c r="C136" s="8">
        <f>C137</f>
        <v>29</v>
      </c>
      <c r="D136" s="132">
        <v>0.21</v>
      </c>
      <c r="E136" s="13">
        <f>'INFORMACION INICIAL'!C3</f>
        <v>-1.8</v>
      </c>
      <c r="F136" s="107">
        <v>18</v>
      </c>
      <c r="G136" s="8">
        <f t="shared" si="15"/>
        <v>120.58200000000001</v>
      </c>
    </row>
    <row r="137" spans="1:7" x14ac:dyDescent="0.25">
      <c r="B137" s="32" t="s">
        <v>48</v>
      </c>
      <c r="C137" s="8">
        <f>'VENTILACION SUPER-PERS'!D77</f>
        <v>29</v>
      </c>
      <c r="D137" s="132">
        <v>0.71</v>
      </c>
      <c r="E137" s="13">
        <f>'INFORMACION INICIAL'!C194</f>
        <v>0</v>
      </c>
      <c r="F137" s="107">
        <v>18</v>
      </c>
      <c r="G137" s="8">
        <f>C137*D137*(F137-E137)</f>
        <v>370.62</v>
      </c>
    </row>
    <row r="138" spans="1:7" x14ac:dyDescent="0.25">
      <c r="B138" s="4"/>
      <c r="C138" s="4"/>
      <c r="D138" s="4"/>
      <c r="E138" s="4"/>
      <c r="F138" s="107" t="s">
        <v>59</v>
      </c>
      <c r="G138" s="8">
        <f>SUM(G131:G137)</f>
        <v>952.98839999999996</v>
      </c>
    </row>
    <row r="140" spans="1:7" x14ac:dyDescent="0.25">
      <c r="A140" s="1" t="s">
        <v>41</v>
      </c>
      <c r="B140" s="107" t="s">
        <v>100</v>
      </c>
      <c r="C140" s="107" t="s">
        <v>101</v>
      </c>
      <c r="D140" s="107" t="s">
        <v>105</v>
      </c>
      <c r="E140" s="107" t="s">
        <v>104</v>
      </c>
      <c r="F140" s="107" t="s">
        <v>103</v>
      </c>
    </row>
    <row r="141" spans="1:7" x14ac:dyDescent="0.25">
      <c r="B141" s="132">
        <f>'INFORMACION INICIAL'!C10</f>
        <v>0.5</v>
      </c>
      <c r="C141" s="8">
        <f>C137*3</f>
        <v>87</v>
      </c>
      <c r="D141" s="13">
        <f>'INFORMACION INICIAL'!C3</f>
        <v>-1.8</v>
      </c>
      <c r="E141" s="107">
        <v>18</v>
      </c>
      <c r="F141" s="8">
        <f>B141*C141*1.2*1*(E141-D141)/3.6</f>
        <v>287.09999999999997</v>
      </c>
    </row>
    <row r="143" spans="1:7" x14ac:dyDescent="0.25">
      <c r="A143" s="1" t="s">
        <v>42</v>
      </c>
      <c r="B143" s="107" t="s">
        <v>107</v>
      </c>
      <c r="C143" s="107" t="s">
        <v>105</v>
      </c>
      <c r="D143" s="107" t="s">
        <v>104</v>
      </c>
      <c r="E143" s="107" t="s">
        <v>103</v>
      </c>
    </row>
    <row r="144" spans="1:7" x14ac:dyDescent="0.25">
      <c r="B144" s="8">
        <f>'VENTILACION SUPER-PERS'!G77*3.6</f>
        <v>504</v>
      </c>
      <c r="C144" s="13">
        <f>'INFORMACION INICIAL'!C3</f>
        <v>-1.8</v>
      </c>
      <c r="D144" s="107">
        <v>18</v>
      </c>
      <c r="E144" s="13">
        <f>B144*1.2*1*(D144-C144)/3.6</f>
        <v>3326.3999999999996</v>
      </c>
    </row>
    <row r="160" spans="2:2" x14ac:dyDescent="0.25">
      <c r="B160" s="1"/>
    </row>
    <row r="161" spans="2:7" x14ac:dyDescent="0.25">
      <c r="B161" s="1"/>
      <c r="C161" s="131" t="s">
        <v>259</v>
      </c>
      <c r="D161" s="131"/>
      <c r="E161" s="131"/>
      <c r="F161" s="131"/>
      <c r="G161" s="131"/>
    </row>
    <row r="162" spans="2:7" x14ac:dyDescent="0.25">
      <c r="B162" s="1"/>
    </row>
    <row r="163" spans="2:7" x14ac:dyDescent="0.25">
      <c r="B163" s="1" t="s">
        <v>58</v>
      </c>
      <c r="C163" s="32" t="s">
        <v>40</v>
      </c>
      <c r="D163" s="107" t="s">
        <v>102</v>
      </c>
      <c r="E163" s="107" t="s">
        <v>106</v>
      </c>
      <c r="F163" s="107" t="s">
        <v>105</v>
      </c>
      <c r="G163" s="107" t="s">
        <v>104</v>
      </c>
    </row>
    <row r="164" spans="2:7" x14ac:dyDescent="0.25">
      <c r="B164" s="1"/>
      <c r="C164" s="31" t="s">
        <v>43</v>
      </c>
      <c r="D164" s="8">
        <f>3*2.38</f>
        <v>7.14</v>
      </c>
      <c r="E164" s="107">
        <v>0.7</v>
      </c>
      <c r="F164" s="13">
        <v>-4.8</v>
      </c>
      <c r="G164" s="107">
        <v>18</v>
      </c>
    </row>
    <row r="165" spans="2:7" x14ac:dyDescent="0.25">
      <c r="B165" s="1"/>
      <c r="C165" s="32" t="s">
        <v>44</v>
      </c>
      <c r="D165" s="8">
        <f>3*2.38</f>
        <v>7.14</v>
      </c>
      <c r="E165" s="107">
        <v>0.7</v>
      </c>
      <c r="F165" s="13">
        <f>'INFORMACION INICIAL'!C3</f>
        <v>-1.8</v>
      </c>
      <c r="G165" s="107">
        <v>18</v>
      </c>
    </row>
    <row r="166" spans="2:7" x14ac:dyDescent="0.25">
      <c r="B166" s="1"/>
      <c r="C166" s="32" t="s">
        <v>45</v>
      </c>
      <c r="D166" s="8">
        <f>3*1.9</f>
        <v>5.6999999999999993</v>
      </c>
      <c r="E166" s="107">
        <v>0.7</v>
      </c>
      <c r="F166" s="13">
        <v>-4.8</v>
      </c>
      <c r="G166" s="107">
        <v>18</v>
      </c>
    </row>
    <row r="167" spans="2:7" x14ac:dyDescent="0.25">
      <c r="B167" s="1"/>
      <c r="C167" s="32" t="s">
        <v>46</v>
      </c>
      <c r="D167" s="8">
        <f>3*1.9</f>
        <v>5.6999999999999993</v>
      </c>
      <c r="E167" s="107">
        <v>0.7</v>
      </c>
      <c r="F167" s="13">
        <v>-4.8</v>
      </c>
      <c r="G167" s="107">
        <v>18</v>
      </c>
    </row>
    <row r="168" spans="2:7" x14ac:dyDescent="0.25">
      <c r="B168" s="1"/>
      <c r="C168" s="32" t="s">
        <v>49</v>
      </c>
      <c r="D168" s="8">
        <v>0</v>
      </c>
      <c r="E168" s="107">
        <v>1.9</v>
      </c>
      <c r="F168" s="13">
        <v>-4.8</v>
      </c>
      <c r="G168" s="107">
        <v>18</v>
      </c>
    </row>
    <row r="169" spans="2:7" x14ac:dyDescent="0.25">
      <c r="B169" s="1"/>
      <c r="C169" s="32" t="s">
        <v>47</v>
      </c>
      <c r="D169" s="8">
        <f>'VENTILACION SUPER-PERS'!D52</f>
        <v>4.5</v>
      </c>
      <c r="E169" s="107">
        <v>0.33</v>
      </c>
      <c r="F169" s="13">
        <v>-4.8</v>
      </c>
      <c r="G169" s="107">
        <v>18</v>
      </c>
    </row>
    <row r="170" spans="2:7" x14ac:dyDescent="0.25">
      <c r="B170" s="1"/>
      <c r="C170" s="32" t="s">
        <v>48</v>
      </c>
      <c r="D170" s="8">
        <f>'VENTILACION SUPER-PERS'!D52</f>
        <v>4.5</v>
      </c>
      <c r="E170" s="107">
        <v>0.33</v>
      </c>
      <c r="F170" s="13">
        <v>-4.8</v>
      </c>
      <c r="G170" s="107">
        <v>18</v>
      </c>
    </row>
    <row r="171" spans="2:7" x14ac:dyDescent="0.25">
      <c r="B171" s="1"/>
      <c r="C171" s="4"/>
      <c r="D171" s="4"/>
      <c r="E171" s="4"/>
      <c r="F171" s="4"/>
      <c r="G171" s="107" t="s">
        <v>59</v>
      </c>
    </row>
    <row r="172" spans="2:7" x14ac:dyDescent="0.25">
      <c r="B172" s="1"/>
    </row>
    <row r="173" spans="2:7" x14ac:dyDescent="0.25">
      <c r="B173" s="1" t="s">
        <v>41</v>
      </c>
      <c r="C173" s="107" t="s">
        <v>100</v>
      </c>
      <c r="D173" s="107" t="s">
        <v>101</v>
      </c>
      <c r="E173" s="107" t="s">
        <v>105</v>
      </c>
      <c r="F173" s="107" t="s">
        <v>104</v>
      </c>
      <c r="G173" s="107" t="s">
        <v>103</v>
      </c>
    </row>
    <row r="174" spans="2:7" x14ac:dyDescent="0.25">
      <c r="B174" s="1"/>
      <c r="C174" s="107">
        <v>1</v>
      </c>
      <c r="D174" s="8">
        <f>D170*3</f>
        <v>13.5</v>
      </c>
      <c r="E174" s="13">
        <v>-4.8</v>
      </c>
      <c r="F174" s="107">
        <v>18</v>
      </c>
      <c r="G174" s="8">
        <f>C192*D192*1.2*1*(F192-E192)</f>
        <v>566.35200000000009</v>
      </c>
    </row>
    <row r="175" spans="2:7" x14ac:dyDescent="0.25">
      <c r="B175" s="1"/>
    </row>
    <row r="176" spans="2:7" x14ac:dyDescent="0.25">
      <c r="B176" s="1" t="s">
        <v>42</v>
      </c>
      <c r="C176" s="107" t="s">
        <v>107</v>
      </c>
      <c r="D176" s="107" t="s">
        <v>105</v>
      </c>
      <c r="E176" s="107" t="s">
        <v>104</v>
      </c>
      <c r="F176" s="107" t="s">
        <v>103</v>
      </c>
    </row>
    <row r="177" spans="2:7" x14ac:dyDescent="0.25">
      <c r="B177" s="1"/>
      <c r="C177" s="65">
        <f>'VENTILACION SUPER-PERS'!G52*3.6</f>
        <v>126</v>
      </c>
      <c r="D177" s="13">
        <v>-4.8</v>
      </c>
      <c r="E177" s="107">
        <v>18</v>
      </c>
      <c r="F177" s="13">
        <f>C177*1.2*1*(E177-D177)/3.6</f>
        <v>957.59999999999991</v>
      </c>
    </row>
    <row r="178" spans="2:7" x14ac:dyDescent="0.25">
      <c r="B178" s="1"/>
    </row>
    <row r="179" spans="2:7" x14ac:dyDescent="0.25">
      <c r="B179" s="1"/>
      <c r="C179" s="131" t="s">
        <v>286</v>
      </c>
      <c r="D179" s="131"/>
      <c r="E179" s="131"/>
      <c r="F179" s="131"/>
      <c r="G179" s="131"/>
    </row>
    <row r="180" spans="2:7" x14ac:dyDescent="0.25">
      <c r="B180" s="1"/>
    </row>
    <row r="181" spans="2:7" x14ac:dyDescent="0.25">
      <c r="B181" s="1" t="s">
        <v>58</v>
      </c>
      <c r="C181" s="32" t="s">
        <v>40</v>
      </c>
      <c r="D181" s="107" t="s">
        <v>102</v>
      </c>
      <c r="E181" s="107" t="s">
        <v>106</v>
      </c>
      <c r="F181" s="107" t="s">
        <v>105</v>
      </c>
      <c r="G181" s="107" t="s">
        <v>104</v>
      </c>
    </row>
    <row r="182" spans="2:7" x14ac:dyDescent="0.25">
      <c r="B182" s="1"/>
      <c r="C182" s="31" t="s">
        <v>43</v>
      </c>
      <c r="D182" s="8">
        <f>2.3*3</f>
        <v>6.8999999999999995</v>
      </c>
      <c r="E182" s="107">
        <v>0.7</v>
      </c>
      <c r="F182" s="13">
        <v>-4.8</v>
      </c>
      <c r="G182" s="107">
        <v>18</v>
      </c>
    </row>
    <row r="183" spans="2:7" x14ac:dyDescent="0.25">
      <c r="B183" s="1"/>
      <c r="C183" s="32" t="s">
        <v>44</v>
      </c>
      <c r="D183" s="8">
        <f>D182</f>
        <v>6.8999999999999995</v>
      </c>
      <c r="E183" s="107">
        <v>0.7</v>
      </c>
      <c r="F183" s="13">
        <v>-4.8</v>
      </c>
      <c r="G183" s="107">
        <v>18</v>
      </c>
    </row>
    <row r="184" spans="2:7" x14ac:dyDescent="0.25">
      <c r="B184" s="1"/>
      <c r="C184" s="32" t="s">
        <v>45</v>
      </c>
      <c r="D184" s="8">
        <f>3.15*3</f>
        <v>9.4499999999999993</v>
      </c>
      <c r="E184" s="107">
        <v>0.7</v>
      </c>
      <c r="F184" s="13">
        <v>-4.8</v>
      </c>
      <c r="G184" s="107">
        <v>18</v>
      </c>
    </row>
    <row r="185" spans="2:7" x14ac:dyDescent="0.25">
      <c r="B185" s="1"/>
      <c r="C185" s="32" t="s">
        <v>46</v>
      </c>
      <c r="D185" s="8">
        <f>D184</f>
        <v>9.4499999999999993</v>
      </c>
      <c r="E185" s="107">
        <v>0.7</v>
      </c>
      <c r="F185" s="13">
        <v>-4.8</v>
      </c>
      <c r="G185" s="107">
        <v>18</v>
      </c>
    </row>
    <row r="186" spans="2:7" x14ac:dyDescent="0.25">
      <c r="B186" s="1"/>
      <c r="C186" s="32" t="s">
        <v>49</v>
      </c>
      <c r="D186" s="8">
        <v>0</v>
      </c>
      <c r="E186" s="107">
        <v>1.9</v>
      </c>
      <c r="F186" s="13">
        <v>-4.8</v>
      </c>
      <c r="G186" s="107">
        <v>18</v>
      </c>
    </row>
    <row r="187" spans="2:7" x14ac:dyDescent="0.25">
      <c r="B187" s="1"/>
      <c r="C187" s="32" t="s">
        <v>47</v>
      </c>
      <c r="D187" s="8">
        <f>'VENTILACION SUPER-PERS'!D53</f>
        <v>6.9</v>
      </c>
      <c r="E187" s="107">
        <v>0.33</v>
      </c>
      <c r="F187" s="13">
        <v>-4.8</v>
      </c>
      <c r="G187" s="107">
        <v>18</v>
      </c>
    </row>
    <row r="188" spans="2:7" x14ac:dyDescent="0.25">
      <c r="B188" s="1"/>
      <c r="C188" s="32" t="s">
        <v>48</v>
      </c>
      <c r="D188" s="8">
        <f>D187</f>
        <v>6.9</v>
      </c>
      <c r="E188" s="107">
        <v>0.33</v>
      </c>
      <c r="F188" s="13">
        <v>-4.8</v>
      </c>
      <c r="G188" s="107">
        <v>18</v>
      </c>
    </row>
    <row r="189" spans="2:7" x14ac:dyDescent="0.25">
      <c r="B189" s="1"/>
      <c r="C189" s="4"/>
      <c r="D189" s="4"/>
      <c r="E189" s="4"/>
      <c r="F189" s="4"/>
      <c r="G189" s="107" t="s">
        <v>59</v>
      </c>
    </row>
    <row r="190" spans="2:7" x14ac:dyDescent="0.25">
      <c r="B190" s="1"/>
    </row>
    <row r="191" spans="2:7" x14ac:dyDescent="0.25">
      <c r="B191" s="1" t="s">
        <v>41</v>
      </c>
      <c r="C191" s="107" t="s">
        <v>100</v>
      </c>
      <c r="D191" s="107" t="s">
        <v>101</v>
      </c>
      <c r="E191" s="107" t="s">
        <v>105</v>
      </c>
      <c r="F191" s="107" t="s">
        <v>104</v>
      </c>
      <c r="G191" s="107" t="s">
        <v>103</v>
      </c>
    </row>
    <row r="192" spans="2:7" x14ac:dyDescent="0.25">
      <c r="B192" s="1"/>
      <c r="C192" s="107">
        <v>1</v>
      </c>
      <c r="D192" s="8">
        <f>D188*3</f>
        <v>20.700000000000003</v>
      </c>
      <c r="E192" s="13">
        <v>-4.8</v>
      </c>
      <c r="F192" s="107">
        <v>18</v>
      </c>
      <c r="G192" s="8">
        <f>C192*D192*1.2*1*(F192-E192)</f>
        <v>566.35200000000009</v>
      </c>
    </row>
    <row r="193" spans="2:7" x14ac:dyDescent="0.25">
      <c r="B193" s="1"/>
    </row>
    <row r="194" spans="2:7" x14ac:dyDescent="0.25">
      <c r="B194" s="1" t="s">
        <v>42</v>
      </c>
      <c r="C194" s="107" t="s">
        <v>107</v>
      </c>
      <c r="D194" s="107" t="s">
        <v>105</v>
      </c>
      <c r="E194" s="107" t="s">
        <v>104</v>
      </c>
      <c r="F194" s="107" t="s">
        <v>103</v>
      </c>
    </row>
    <row r="195" spans="2:7" x14ac:dyDescent="0.25">
      <c r="B195" s="1"/>
      <c r="C195" s="65">
        <f>'VENTILACION SUPER-PERS'!G53*3.6</f>
        <v>378</v>
      </c>
      <c r="D195" s="13">
        <v>-4.8</v>
      </c>
      <c r="E195" s="107">
        <v>18</v>
      </c>
      <c r="F195" s="13">
        <f>C195*1.2*1*(E195-D195)/3.6</f>
        <v>2872.7999999999997</v>
      </c>
    </row>
    <row r="196" spans="2:7" x14ac:dyDescent="0.25">
      <c r="B196" s="1"/>
    </row>
    <row r="197" spans="2:7" x14ac:dyDescent="0.25">
      <c r="B197" s="1"/>
      <c r="C197" s="37" t="s">
        <v>287</v>
      </c>
      <c r="D197" s="37"/>
      <c r="E197" s="37"/>
      <c r="F197" s="37"/>
      <c r="G197" s="37"/>
    </row>
    <row r="198" spans="2:7" x14ac:dyDescent="0.25">
      <c r="B198" s="1"/>
    </row>
    <row r="199" spans="2:7" x14ac:dyDescent="0.25">
      <c r="B199" s="1" t="s">
        <v>58</v>
      </c>
      <c r="C199" s="32" t="s">
        <v>40</v>
      </c>
      <c r="D199" s="107" t="s">
        <v>102</v>
      </c>
      <c r="E199" s="107" t="s">
        <v>106</v>
      </c>
      <c r="F199" s="107" t="s">
        <v>105</v>
      </c>
      <c r="G199" s="107" t="s">
        <v>104</v>
      </c>
    </row>
    <row r="200" spans="2:7" x14ac:dyDescent="0.25">
      <c r="B200" s="1"/>
      <c r="C200" s="31" t="s">
        <v>43</v>
      </c>
      <c r="D200" s="8"/>
      <c r="E200" s="107">
        <v>0.7</v>
      </c>
      <c r="F200" s="13">
        <v>-4.8</v>
      </c>
      <c r="G200" s="107">
        <f>'INFORMACION INICIAL'!C43</f>
        <v>0</v>
      </c>
    </row>
    <row r="201" spans="2:7" x14ac:dyDescent="0.25">
      <c r="B201" s="1"/>
      <c r="C201" s="32" t="s">
        <v>44</v>
      </c>
      <c r="D201" s="8"/>
      <c r="E201" s="107">
        <v>0.7</v>
      </c>
      <c r="F201" s="13">
        <f>'INFORMACION INICIAL'!C41</f>
        <v>0</v>
      </c>
      <c r="G201" s="107">
        <f>'INFORMACION INICIAL'!C43</f>
        <v>0</v>
      </c>
    </row>
    <row r="202" spans="2:7" x14ac:dyDescent="0.25">
      <c r="B202" s="1"/>
      <c r="C202" s="32" t="s">
        <v>45</v>
      </c>
      <c r="D202" s="8"/>
      <c r="E202" s="107">
        <v>0.7</v>
      </c>
      <c r="F202" s="13">
        <v>-4.8</v>
      </c>
      <c r="G202" s="107">
        <f>'INFORMACION INICIAL'!C43</f>
        <v>0</v>
      </c>
    </row>
    <row r="203" spans="2:7" x14ac:dyDescent="0.25">
      <c r="B203" s="1"/>
      <c r="C203" s="32" t="s">
        <v>46</v>
      </c>
      <c r="D203" s="8"/>
      <c r="E203" s="107">
        <v>0.7</v>
      </c>
      <c r="F203" s="13">
        <v>-4.8</v>
      </c>
      <c r="G203" s="107">
        <f>'INFORMACION INICIAL'!C43</f>
        <v>0</v>
      </c>
    </row>
    <row r="204" spans="2:7" x14ac:dyDescent="0.25">
      <c r="B204" s="1"/>
      <c r="C204" s="32" t="s">
        <v>49</v>
      </c>
      <c r="D204" s="8"/>
      <c r="E204" s="107">
        <v>1.9</v>
      </c>
      <c r="F204" s="13">
        <f>'INFORMACION INICIAL'!C40</f>
        <v>0</v>
      </c>
      <c r="G204" s="107">
        <f>'INFORMACION INICIAL'!C43</f>
        <v>0</v>
      </c>
    </row>
    <row r="205" spans="2:7" x14ac:dyDescent="0.25">
      <c r="B205" s="1"/>
      <c r="C205" s="32" t="s">
        <v>47</v>
      </c>
      <c r="D205" s="8"/>
      <c r="E205" s="107">
        <v>0.33</v>
      </c>
      <c r="F205" s="13">
        <f>'INFORMACION INICIAL'!C40</f>
        <v>0</v>
      </c>
      <c r="G205" s="107">
        <f>'INFORMACION INICIAL'!C43</f>
        <v>0</v>
      </c>
    </row>
    <row r="206" spans="2:7" x14ac:dyDescent="0.25">
      <c r="B206" s="1"/>
      <c r="C206" s="32" t="s">
        <v>48</v>
      </c>
      <c r="D206" s="8"/>
      <c r="E206" s="107">
        <v>0.33</v>
      </c>
      <c r="F206" s="13">
        <f>'INFORMACION INICIAL'!C42</f>
        <v>0</v>
      </c>
      <c r="G206" s="107">
        <f>'INFORMACION INICIAL'!C43</f>
        <v>0</v>
      </c>
    </row>
    <row r="207" spans="2:7" x14ac:dyDescent="0.25">
      <c r="B207" s="1"/>
      <c r="C207" s="4"/>
      <c r="D207" s="4"/>
      <c r="E207" s="4"/>
      <c r="F207" s="4"/>
      <c r="G207" s="107" t="s">
        <v>59</v>
      </c>
    </row>
    <row r="208" spans="2:7" x14ac:dyDescent="0.25">
      <c r="B208" s="1"/>
    </row>
    <row r="209" spans="2:8" x14ac:dyDescent="0.25">
      <c r="B209" s="1" t="s">
        <v>41</v>
      </c>
      <c r="C209" s="107" t="s">
        <v>100</v>
      </c>
      <c r="D209" s="107" t="s">
        <v>101</v>
      </c>
      <c r="E209" s="107" t="s">
        <v>105</v>
      </c>
      <c r="F209" s="107" t="s">
        <v>104</v>
      </c>
      <c r="G209" s="107" t="s">
        <v>103</v>
      </c>
    </row>
    <row r="210" spans="2:8" x14ac:dyDescent="0.25">
      <c r="B210" s="1"/>
      <c r="C210" s="107">
        <v>1</v>
      </c>
      <c r="D210" s="8">
        <f>D206*3</f>
        <v>0</v>
      </c>
      <c r="E210" s="13">
        <v>-4.8</v>
      </c>
      <c r="F210" s="107">
        <v>18</v>
      </c>
      <c r="G210" s="8">
        <f>B15*C15*1.2*1*(E15-D15)</f>
        <v>730.62</v>
      </c>
    </row>
    <row r="211" spans="2:8" x14ac:dyDescent="0.25">
      <c r="B211" s="1"/>
    </row>
    <row r="212" spans="2:8" x14ac:dyDescent="0.25">
      <c r="B212" s="1" t="s">
        <v>42</v>
      </c>
      <c r="C212" s="107" t="s">
        <v>107</v>
      </c>
      <c r="D212" s="107" t="s">
        <v>105</v>
      </c>
      <c r="E212" s="107" t="s">
        <v>104</v>
      </c>
      <c r="F212" s="107" t="s">
        <v>103</v>
      </c>
    </row>
    <row r="213" spans="2:8" x14ac:dyDescent="0.25">
      <c r="B213" s="1"/>
      <c r="C213" s="8">
        <f>'VENTILACION SUPER-PERS'!G88*3.6</f>
        <v>0</v>
      </c>
      <c r="D213" s="13">
        <v>-4.8</v>
      </c>
      <c r="E213" s="107">
        <v>18</v>
      </c>
      <c r="F213" s="13">
        <f>C213*1.2*1*(E213-D213)/3.6</f>
        <v>0</v>
      </c>
    </row>
    <row r="215" spans="2:8" x14ac:dyDescent="0.25">
      <c r="H215" s="131"/>
    </row>
    <row r="217" spans="2:8" x14ac:dyDescent="0.25">
      <c r="H217" s="107" t="s">
        <v>103</v>
      </c>
    </row>
    <row r="218" spans="2:8" x14ac:dyDescent="0.25">
      <c r="H218" s="8">
        <f t="shared" ref="H218:H219" si="16">D164*E164*(G164-F164)</f>
        <v>113.95439999999999</v>
      </c>
    </row>
    <row r="219" spans="2:8" x14ac:dyDescent="0.25">
      <c r="H219" s="8">
        <f t="shared" si="16"/>
        <v>98.960399999999993</v>
      </c>
    </row>
    <row r="220" spans="2:8" x14ac:dyDescent="0.25">
      <c r="H220" s="8">
        <f>D166*E166*(G166-F166)</f>
        <v>90.971999999999994</v>
      </c>
    </row>
    <row r="221" spans="2:8" x14ac:dyDescent="0.25">
      <c r="H221" s="8">
        <f>D167*E167*(G167-F167)</f>
        <v>90.971999999999994</v>
      </c>
    </row>
    <row r="222" spans="2:8" x14ac:dyDescent="0.25">
      <c r="H222" s="8">
        <f t="shared" ref="H222:H223" si="17">D168*E168*(G168-F168)</f>
        <v>0</v>
      </c>
    </row>
    <row r="223" spans="2:8" x14ac:dyDescent="0.25">
      <c r="H223" s="8">
        <f t="shared" si="17"/>
        <v>33.858000000000004</v>
      </c>
    </row>
    <row r="224" spans="2:8" x14ac:dyDescent="0.25">
      <c r="H224" s="8">
        <f>'VENTILACION SUPER-PERS'!D47*E170*(G170-F170)</f>
        <v>68.468400000000003</v>
      </c>
    </row>
    <row r="225" spans="8:8" x14ac:dyDescent="0.25">
      <c r="H225" s="8">
        <f>SUM(H218:H224)</f>
        <v>497.18520000000001</v>
      </c>
    </row>
    <row r="233" spans="8:8" x14ac:dyDescent="0.25">
      <c r="H233" s="131"/>
    </row>
    <row r="235" spans="8:8" x14ac:dyDescent="0.25">
      <c r="H235" s="107" t="s">
        <v>103</v>
      </c>
    </row>
    <row r="236" spans="8:8" x14ac:dyDescent="0.25">
      <c r="H236" s="8">
        <f t="shared" ref="H236:H237" si="18">D182*E182*(G182-F182)</f>
        <v>110.12399999999998</v>
      </c>
    </row>
    <row r="237" spans="8:8" x14ac:dyDescent="0.25">
      <c r="H237" s="8">
        <f t="shared" si="18"/>
        <v>110.12399999999998</v>
      </c>
    </row>
    <row r="238" spans="8:8" x14ac:dyDescent="0.25">
      <c r="H238" s="8">
        <f>D184*E184*(G184-F184)</f>
        <v>150.822</v>
      </c>
    </row>
    <row r="239" spans="8:8" x14ac:dyDescent="0.25">
      <c r="H239" s="8">
        <f>D185*E185*(G185-F185)</f>
        <v>150.822</v>
      </c>
    </row>
    <row r="240" spans="8:8" x14ac:dyDescent="0.25">
      <c r="H240" s="8">
        <f t="shared" ref="H240:H241" si="19">D186*E186*(G186-F186)</f>
        <v>0</v>
      </c>
    </row>
    <row r="241" spans="8:8" x14ac:dyDescent="0.25">
      <c r="H241" s="8">
        <f t="shared" si="19"/>
        <v>51.915600000000005</v>
      </c>
    </row>
    <row r="242" spans="8:8" x14ac:dyDescent="0.25">
      <c r="H242" s="8">
        <f>'VENTILACION SUPER-PERS'!D66*E188*(G188-F188)</f>
        <v>30.096000000000004</v>
      </c>
    </row>
    <row r="243" spans="8:8" x14ac:dyDescent="0.25">
      <c r="H243" s="8">
        <f>SUM(H236:H242)</f>
        <v>603.90359999999998</v>
      </c>
    </row>
    <row r="251" spans="8:8" x14ac:dyDescent="0.25">
      <c r="H251" s="37"/>
    </row>
    <row r="253" spans="8:8" x14ac:dyDescent="0.25">
      <c r="H253" s="107" t="s">
        <v>103</v>
      </c>
    </row>
    <row r="254" spans="8:8" x14ac:dyDescent="0.25">
      <c r="H254" s="8">
        <f t="shared" ref="H254:H255" si="20">D200*E200*(G200-F200)</f>
        <v>0</v>
      </c>
    </row>
    <row r="255" spans="8:8" x14ac:dyDescent="0.25">
      <c r="H255" s="8">
        <f t="shared" si="20"/>
        <v>0</v>
      </c>
    </row>
    <row r="256" spans="8:8" x14ac:dyDescent="0.25">
      <c r="H256" s="8">
        <f>D202*E202*(G202-F202)</f>
        <v>0</v>
      </c>
    </row>
    <row r="257" spans="8:8" x14ac:dyDescent="0.25">
      <c r="H257" s="8">
        <f>D203*E203*(G203-F203)</f>
        <v>0</v>
      </c>
    </row>
    <row r="258" spans="8:8" x14ac:dyDescent="0.25">
      <c r="H258" s="8">
        <f t="shared" ref="H258:H259" si="21">D204*E204*(G204-F204)</f>
        <v>0</v>
      </c>
    </row>
    <row r="259" spans="8:8" x14ac:dyDescent="0.25">
      <c r="H259" s="8">
        <f t="shared" si="21"/>
        <v>0</v>
      </c>
    </row>
    <row r="260" spans="8:8" x14ac:dyDescent="0.25">
      <c r="H260" s="8">
        <f>'VENTILACION SUPER-PERS'!D83*E206*(G206-F206)</f>
        <v>0</v>
      </c>
    </row>
    <row r="261" spans="8:8" x14ac:dyDescent="0.25">
      <c r="H261" s="8">
        <f>SUM(H254:H260)</f>
        <v>0</v>
      </c>
    </row>
  </sheetData>
  <mergeCells count="8">
    <mergeCell ref="B92:G92"/>
    <mergeCell ref="B110:G110"/>
    <mergeCell ref="B128:G128"/>
    <mergeCell ref="B38:G38"/>
    <mergeCell ref="B2:G2"/>
    <mergeCell ref="B20:G20"/>
    <mergeCell ref="B56:G56"/>
    <mergeCell ref="B74:G7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0"/>
  <sheetViews>
    <sheetView topLeftCell="A91" zoomScale="70" zoomScaleNormal="70" workbookViewId="0">
      <selection activeCell="K118" sqref="K118"/>
    </sheetView>
  </sheetViews>
  <sheetFormatPr baseColWidth="10" defaultRowHeight="15" x14ac:dyDescent="0.25"/>
  <cols>
    <col min="2" max="2" width="20.28515625" bestFit="1" customWidth="1"/>
    <col min="3" max="3" width="19.42578125" bestFit="1" customWidth="1"/>
    <col min="4" max="4" width="24.42578125" bestFit="1" customWidth="1"/>
    <col min="5" max="6" width="19.85546875" bestFit="1" customWidth="1"/>
    <col min="7" max="7" width="16.7109375" bestFit="1" customWidth="1"/>
  </cols>
  <sheetData>
    <row r="2" spans="2:7" x14ac:dyDescent="0.25">
      <c r="B2" s="177" t="s">
        <v>303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106" t="s">
        <v>102</v>
      </c>
      <c r="D5" s="106" t="s">
        <v>106</v>
      </c>
      <c r="E5" s="106" t="s">
        <v>105</v>
      </c>
      <c r="F5" s="106" t="s">
        <v>104</v>
      </c>
      <c r="G5" s="106" t="s">
        <v>103</v>
      </c>
    </row>
    <row r="6" spans="2:7" x14ac:dyDescent="0.25">
      <c r="B6" s="31" t="s">
        <v>43</v>
      </c>
      <c r="C6" s="8">
        <f>61*3</f>
        <v>183</v>
      </c>
      <c r="D6" s="106">
        <v>0.36</v>
      </c>
      <c r="E6" s="13">
        <f>'INFORMACION INICIAL'!C4</f>
        <v>10</v>
      </c>
      <c r="F6" s="106">
        <v>18</v>
      </c>
      <c r="G6" s="8">
        <f t="shared" ref="G6:G11" si="0">C6*D6*(F6-E6)</f>
        <v>527.04</v>
      </c>
    </row>
    <row r="7" spans="2:7" x14ac:dyDescent="0.25">
      <c r="B7" s="32" t="s">
        <v>44</v>
      </c>
      <c r="C7" s="8">
        <f>C6</f>
        <v>183</v>
      </c>
      <c r="D7" s="132">
        <v>0.36</v>
      </c>
      <c r="E7" s="13">
        <f>'INFORMACION INICIAL'!C4</f>
        <v>10</v>
      </c>
      <c r="F7" s="130">
        <v>18</v>
      </c>
      <c r="G7" s="8">
        <f t="shared" si="0"/>
        <v>527.04</v>
      </c>
    </row>
    <row r="8" spans="2:7" x14ac:dyDescent="0.25">
      <c r="B8" s="32" t="s">
        <v>45</v>
      </c>
      <c r="C8" s="8">
        <f>2.35*3</f>
        <v>7.0500000000000007</v>
      </c>
      <c r="D8" s="132">
        <v>0.36</v>
      </c>
      <c r="E8" s="13">
        <f>'INFORMACION INICIAL'!C4</f>
        <v>10</v>
      </c>
      <c r="F8" s="130">
        <v>18</v>
      </c>
      <c r="G8" s="8">
        <f>C8*D8*(F8-E8)</f>
        <v>20.304000000000002</v>
      </c>
    </row>
    <row r="9" spans="2:7" x14ac:dyDescent="0.25">
      <c r="B9" s="32" t="s">
        <v>46</v>
      </c>
      <c r="C9" s="8">
        <f>C8</f>
        <v>7.0500000000000007</v>
      </c>
      <c r="D9" s="132">
        <v>0.36</v>
      </c>
      <c r="E9" s="13">
        <f>'INFORMACION INICIAL'!C4</f>
        <v>10</v>
      </c>
      <c r="F9" s="130">
        <v>18</v>
      </c>
      <c r="G9" s="8">
        <f>C9*D9*(F9-E9)</f>
        <v>20.304000000000002</v>
      </c>
    </row>
    <row r="10" spans="2:7" x14ac:dyDescent="0.25">
      <c r="B10" s="32" t="s">
        <v>49</v>
      </c>
      <c r="C10" s="8">
        <v>0</v>
      </c>
      <c r="D10" s="106">
        <v>1.8</v>
      </c>
      <c r="E10" s="13">
        <f>'INFORMACION INICIAL'!C4</f>
        <v>10</v>
      </c>
      <c r="F10" s="130">
        <v>18</v>
      </c>
      <c r="G10" s="8">
        <f t="shared" si="0"/>
        <v>0</v>
      </c>
    </row>
    <row r="11" spans="2:7" x14ac:dyDescent="0.25">
      <c r="B11" s="32" t="s">
        <v>47</v>
      </c>
      <c r="C11" s="8">
        <f>C12</f>
        <v>142.96</v>
      </c>
      <c r="D11" s="106">
        <v>0.21</v>
      </c>
      <c r="E11" s="13">
        <f>'INFORMACION INICIAL'!C3</f>
        <v>-1.8</v>
      </c>
      <c r="F11" s="130">
        <v>18</v>
      </c>
      <c r="G11" s="8">
        <f t="shared" si="0"/>
        <v>594.42768000000001</v>
      </c>
    </row>
    <row r="12" spans="2:7" x14ac:dyDescent="0.25">
      <c r="B12" s="32" t="s">
        <v>48</v>
      </c>
      <c r="C12" s="8">
        <f>'VENTILACION SUPER-PERS'!D85</f>
        <v>142.96</v>
      </c>
      <c r="D12" s="106">
        <v>0.71</v>
      </c>
      <c r="E12" s="13">
        <v>0</v>
      </c>
      <c r="F12" s="130">
        <v>18</v>
      </c>
      <c r="G12" s="8">
        <f>'VENTILACION SUPER-PERS'!D48*D12*(F12-E12)</f>
        <v>474.13800000000003</v>
      </c>
    </row>
    <row r="13" spans="2:7" x14ac:dyDescent="0.25">
      <c r="B13" s="4"/>
      <c r="C13" s="4"/>
      <c r="D13" s="4"/>
      <c r="E13" s="4"/>
      <c r="F13" s="106" t="s">
        <v>59</v>
      </c>
      <c r="G13" s="8">
        <f>SUM(G6:G12)</f>
        <v>2163.2536800000003</v>
      </c>
    </row>
    <row r="14" spans="2:7" x14ac:dyDescent="0.25">
      <c r="B14" t="s">
        <v>41</v>
      </c>
    </row>
    <row r="15" spans="2:7" x14ac:dyDescent="0.25">
      <c r="B15" s="106" t="s">
        <v>100</v>
      </c>
      <c r="C15" s="106" t="s">
        <v>101</v>
      </c>
      <c r="D15" s="106" t="s">
        <v>105</v>
      </c>
      <c r="E15" s="106" t="s">
        <v>104</v>
      </c>
      <c r="F15" s="106" t="s">
        <v>103</v>
      </c>
    </row>
    <row r="16" spans="2:7" x14ac:dyDescent="0.25">
      <c r="B16" s="132">
        <f>'INFORMACION INICIAL'!C10</f>
        <v>0.5</v>
      </c>
      <c r="C16" s="8">
        <f>C12*3</f>
        <v>428.88</v>
      </c>
      <c r="D16" s="13">
        <f>'INFORMACION INICIAL'!C3</f>
        <v>-1.8</v>
      </c>
      <c r="E16" s="106">
        <v>18</v>
      </c>
      <c r="F16" s="8">
        <f>B16*C16*(E16-D16)*'INFORMACION INICIAL'!C7*'INFORMACION INICIAL'!C8/3.6</f>
        <v>1513.1857672348849</v>
      </c>
    </row>
    <row r="18" spans="2:7" x14ac:dyDescent="0.25">
      <c r="B18" t="s">
        <v>42</v>
      </c>
    </row>
    <row r="19" spans="2:7" x14ac:dyDescent="0.25">
      <c r="B19" s="106" t="s">
        <v>107</v>
      </c>
      <c r="C19" s="106" t="s">
        <v>105</v>
      </c>
      <c r="D19" s="106" t="s">
        <v>104</v>
      </c>
      <c r="E19" s="106" t="s">
        <v>103</v>
      </c>
    </row>
    <row r="20" spans="2:7" x14ac:dyDescent="0.25">
      <c r="B20" s="8">
        <f>'VENTILACION SUPER-PERS'!H85*3.6</f>
        <v>192.99599999999998</v>
      </c>
      <c r="C20" s="13">
        <f>'INFORMACION INICIAL'!C3</f>
        <v>-1.8</v>
      </c>
      <c r="D20" s="106">
        <v>18</v>
      </c>
      <c r="E20" s="13">
        <f>B20*1.2*1*(D20-C20)/3.6</f>
        <v>1273.7736</v>
      </c>
    </row>
    <row r="22" spans="2:7" x14ac:dyDescent="0.25">
      <c r="B22" s="177" t="s">
        <v>304</v>
      </c>
      <c r="C22" s="177"/>
      <c r="D22" s="177"/>
      <c r="E22" s="177"/>
      <c r="F22" s="177"/>
      <c r="G22" s="177"/>
    </row>
    <row r="24" spans="2:7" x14ac:dyDescent="0.25">
      <c r="B24" t="s">
        <v>58</v>
      </c>
    </row>
    <row r="25" spans="2:7" x14ac:dyDescent="0.25">
      <c r="B25" s="32" t="s">
        <v>40</v>
      </c>
      <c r="C25" s="130" t="s">
        <v>102</v>
      </c>
      <c r="D25" s="130" t="s">
        <v>106</v>
      </c>
      <c r="E25" s="130" t="s">
        <v>105</v>
      </c>
      <c r="F25" s="130" t="s">
        <v>104</v>
      </c>
      <c r="G25" s="130" t="s">
        <v>103</v>
      </c>
    </row>
    <row r="26" spans="2:7" x14ac:dyDescent="0.25">
      <c r="B26" s="31" t="s">
        <v>43</v>
      </c>
      <c r="C26" s="8"/>
      <c r="D26" s="130">
        <v>0.7</v>
      </c>
      <c r="E26" s="13">
        <f>'INFORMACION INICIAL'!C4</f>
        <v>10</v>
      </c>
      <c r="F26" s="130">
        <v>18</v>
      </c>
      <c r="G26" s="8">
        <f t="shared" ref="G26:G27" si="1">C26*D26*(F26-E26)</f>
        <v>0</v>
      </c>
    </row>
    <row r="27" spans="2:7" x14ac:dyDescent="0.25">
      <c r="B27" s="32" t="s">
        <v>44</v>
      </c>
      <c r="C27" s="8">
        <f>C26</f>
        <v>0</v>
      </c>
      <c r="D27" s="130">
        <v>0.7</v>
      </c>
      <c r="E27" s="13">
        <f>'INFORMACION INICIAL'!C4</f>
        <v>10</v>
      </c>
      <c r="F27" s="130">
        <v>18</v>
      </c>
      <c r="G27" s="8">
        <f t="shared" si="1"/>
        <v>0</v>
      </c>
    </row>
    <row r="28" spans="2:7" x14ac:dyDescent="0.25">
      <c r="B28" s="32" t="s">
        <v>45</v>
      </c>
      <c r="C28" s="8">
        <f>2.45*3</f>
        <v>7.3500000000000005</v>
      </c>
      <c r="D28" s="130">
        <v>0.7</v>
      </c>
      <c r="E28" s="13">
        <f>'INFORMACION INICIAL'!C4</f>
        <v>10</v>
      </c>
      <c r="F28" s="130">
        <v>18</v>
      </c>
      <c r="G28" s="8">
        <f>C28*D28*(F28-E28)</f>
        <v>41.160000000000004</v>
      </c>
    </row>
    <row r="29" spans="2:7" x14ac:dyDescent="0.25">
      <c r="B29" s="32" t="s">
        <v>46</v>
      </c>
      <c r="C29" s="8">
        <f>C28</f>
        <v>7.3500000000000005</v>
      </c>
      <c r="D29" s="130">
        <v>0.7</v>
      </c>
      <c r="E29" s="13">
        <f>'INFORMACION INICIAL'!C4</f>
        <v>10</v>
      </c>
      <c r="F29" s="130">
        <v>18</v>
      </c>
      <c r="G29" s="8">
        <f>C29*D29*(F29-E29)</f>
        <v>41.160000000000004</v>
      </c>
    </row>
    <row r="30" spans="2:7" x14ac:dyDescent="0.25">
      <c r="B30" s="32" t="s">
        <v>49</v>
      </c>
      <c r="C30" s="8">
        <v>0</v>
      </c>
      <c r="D30" s="130">
        <v>1.9</v>
      </c>
      <c r="E30" s="13">
        <f>'INFORMACION INICIAL'!C4</f>
        <v>10</v>
      </c>
      <c r="F30" s="130">
        <v>18</v>
      </c>
      <c r="G30" s="8">
        <f t="shared" ref="G30:G31" si="2">C30*D30*(F30-E30)</f>
        <v>0</v>
      </c>
    </row>
    <row r="31" spans="2:7" x14ac:dyDescent="0.25">
      <c r="B31" s="32" t="s">
        <v>47</v>
      </c>
      <c r="C31" s="8">
        <f>C32</f>
        <v>117.5</v>
      </c>
      <c r="D31" s="130">
        <v>0.33</v>
      </c>
      <c r="E31" s="13">
        <f>'INFORMACION INICIAL'!C3</f>
        <v>-1.8</v>
      </c>
      <c r="F31" s="130">
        <v>18</v>
      </c>
      <c r="G31" s="8">
        <f t="shared" si="2"/>
        <v>767.745</v>
      </c>
    </row>
    <row r="32" spans="2:7" x14ac:dyDescent="0.25">
      <c r="B32" s="32" t="s">
        <v>48</v>
      </c>
      <c r="C32" s="8">
        <f>'VENTILACION SUPER-PERS'!D86</f>
        <v>117.5</v>
      </c>
      <c r="D32" s="130">
        <v>0.33</v>
      </c>
      <c r="E32" s="13">
        <v>0</v>
      </c>
      <c r="F32" s="130">
        <v>18</v>
      </c>
      <c r="G32" s="8">
        <f>'VENTILACION SUPER-PERS'!D68*D32*(F32-E32)</f>
        <v>56.430000000000007</v>
      </c>
    </row>
    <row r="33" spans="2:7" x14ac:dyDescent="0.25">
      <c r="B33" s="4"/>
      <c r="C33" s="4"/>
      <c r="D33" s="4"/>
      <c r="E33" s="4"/>
      <c r="F33" s="130" t="s">
        <v>59</v>
      </c>
      <c r="G33" s="8">
        <f>SUM(G26:G32)</f>
        <v>906.49500000000012</v>
      </c>
    </row>
    <row r="34" spans="2:7" x14ac:dyDescent="0.25">
      <c r="B34" t="s">
        <v>41</v>
      </c>
    </row>
    <row r="35" spans="2:7" x14ac:dyDescent="0.25">
      <c r="B35" s="130" t="s">
        <v>100</v>
      </c>
      <c r="C35" s="130" t="s">
        <v>101</v>
      </c>
      <c r="D35" s="130" t="s">
        <v>105</v>
      </c>
      <c r="E35" s="130" t="s">
        <v>104</v>
      </c>
      <c r="F35" s="130" t="s">
        <v>103</v>
      </c>
    </row>
    <row r="36" spans="2:7" x14ac:dyDescent="0.25">
      <c r="B36" s="132">
        <f>'INFORMACION INICIAL'!C10</f>
        <v>0.5</v>
      </c>
      <c r="C36" s="8">
        <f>C32*3</f>
        <v>352.5</v>
      </c>
      <c r="D36" s="13">
        <f>'INFORMACION INICIAL'!C3</f>
        <v>-1.8</v>
      </c>
      <c r="E36" s="130">
        <v>18</v>
      </c>
      <c r="F36" s="8">
        <f>B36*C36*1.2*(E36-D36)/3.6</f>
        <v>1163.25</v>
      </c>
    </row>
    <row r="38" spans="2:7" x14ac:dyDescent="0.25">
      <c r="B38" t="s">
        <v>42</v>
      </c>
    </row>
    <row r="39" spans="2:7" x14ac:dyDescent="0.25">
      <c r="B39" s="130" t="s">
        <v>107</v>
      </c>
      <c r="C39" s="130" t="s">
        <v>105</v>
      </c>
      <c r="D39" s="130" t="s">
        <v>104</v>
      </c>
      <c r="E39" s="130" t="s">
        <v>103</v>
      </c>
    </row>
    <row r="40" spans="2:7" x14ac:dyDescent="0.25">
      <c r="B40" s="8">
        <f>'VENTILACION SUPER-PERS'!D86*3.6</f>
        <v>423</v>
      </c>
      <c r="C40" s="13">
        <f>'INFORMACION INICIAL'!C3</f>
        <v>-1.8</v>
      </c>
      <c r="D40" s="13">
        <f>'INFORMACION INICIAL'!C4</f>
        <v>10</v>
      </c>
      <c r="E40" s="13">
        <f>B40*1.2*1*(D40-C40)/3.6</f>
        <v>1663.8</v>
      </c>
    </row>
    <row r="42" spans="2:7" x14ac:dyDescent="0.25">
      <c r="B42" s="177" t="s">
        <v>305</v>
      </c>
      <c r="C42" s="177"/>
      <c r="D42" s="177"/>
      <c r="E42" s="177"/>
      <c r="F42" s="177"/>
      <c r="G42" s="177"/>
    </row>
    <row r="44" spans="2:7" x14ac:dyDescent="0.25">
      <c r="B44" t="s">
        <v>58</v>
      </c>
    </row>
    <row r="45" spans="2:7" x14ac:dyDescent="0.25">
      <c r="B45" s="32" t="s">
        <v>40</v>
      </c>
      <c r="C45" s="130" t="s">
        <v>102</v>
      </c>
      <c r="D45" s="130" t="s">
        <v>106</v>
      </c>
      <c r="E45" s="130" t="s">
        <v>105</v>
      </c>
      <c r="F45" s="130" t="s">
        <v>104</v>
      </c>
      <c r="G45" s="130" t="s">
        <v>103</v>
      </c>
    </row>
    <row r="46" spans="2:7" x14ac:dyDescent="0.25">
      <c r="B46" s="31" t="s">
        <v>43</v>
      </c>
      <c r="C46" s="8"/>
      <c r="D46" s="130">
        <v>0.7</v>
      </c>
      <c r="E46" s="13">
        <f>'INFORMACION INICIAL'!C4</f>
        <v>10</v>
      </c>
      <c r="F46" s="130">
        <v>18</v>
      </c>
      <c r="G46" s="8">
        <f t="shared" ref="G46:G47" si="3">C46*D46*(F46-E46)</f>
        <v>0</v>
      </c>
    </row>
    <row r="47" spans="2:7" x14ac:dyDescent="0.25">
      <c r="B47" s="32" t="s">
        <v>44</v>
      </c>
      <c r="C47" s="8">
        <f>C46</f>
        <v>0</v>
      </c>
      <c r="D47" s="130">
        <v>0.7</v>
      </c>
      <c r="E47" s="13">
        <f>'INFORMACION INICIAL'!C4</f>
        <v>10</v>
      </c>
      <c r="F47" s="130">
        <v>18</v>
      </c>
      <c r="G47" s="8">
        <f t="shared" si="3"/>
        <v>0</v>
      </c>
    </row>
    <row r="48" spans="2:7" x14ac:dyDescent="0.25">
      <c r="B48" s="32" t="s">
        <v>45</v>
      </c>
      <c r="C48" s="8"/>
      <c r="D48" s="130">
        <v>0.7</v>
      </c>
      <c r="E48" s="13">
        <f>'INFORMACION INICIAL'!C4</f>
        <v>10</v>
      </c>
      <c r="F48" s="130">
        <v>18</v>
      </c>
      <c r="G48" s="8">
        <f>C48*D48*(F48-E48)</f>
        <v>0</v>
      </c>
    </row>
    <row r="49" spans="2:7" x14ac:dyDescent="0.25">
      <c r="B49" s="32" t="s">
        <v>46</v>
      </c>
      <c r="C49" s="8">
        <f>C48</f>
        <v>0</v>
      </c>
      <c r="D49" s="130">
        <v>0.7</v>
      </c>
      <c r="E49" s="13">
        <f>'INFORMACION INICIAL'!C4</f>
        <v>10</v>
      </c>
      <c r="F49" s="130">
        <v>18</v>
      </c>
      <c r="G49" s="8">
        <f>C49*D49*(F49-E49)</f>
        <v>0</v>
      </c>
    </row>
    <row r="50" spans="2:7" x14ac:dyDescent="0.25">
      <c r="B50" s="32" t="s">
        <v>49</v>
      </c>
      <c r="C50" s="8"/>
      <c r="D50" s="130">
        <v>1.9</v>
      </c>
      <c r="E50" s="13">
        <f>'INFORMACION INICIAL'!C4</f>
        <v>10</v>
      </c>
      <c r="F50" s="130">
        <v>18</v>
      </c>
      <c r="G50" s="8">
        <f t="shared" ref="G50:G51" si="4">C50*D50*(F50-E50)</f>
        <v>0</v>
      </c>
    </row>
    <row r="51" spans="2:7" x14ac:dyDescent="0.25">
      <c r="B51" s="32" t="s">
        <v>47</v>
      </c>
      <c r="C51" s="8">
        <f>C52</f>
        <v>88.73</v>
      </c>
      <c r="D51" s="130">
        <v>0.33</v>
      </c>
      <c r="E51" s="13">
        <f>'INFORMACION INICIAL'!C3</f>
        <v>-1.8</v>
      </c>
      <c r="F51" s="130">
        <v>18</v>
      </c>
      <c r="G51" s="8">
        <f t="shared" si="4"/>
        <v>579.76182000000006</v>
      </c>
    </row>
    <row r="52" spans="2:7" x14ac:dyDescent="0.25">
      <c r="B52" s="32" t="s">
        <v>48</v>
      </c>
      <c r="C52" s="8">
        <f>'VENTILACION SUPER-PERS'!D87</f>
        <v>88.73</v>
      </c>
      <c r="D52" s="130">
        <v>0.33</v>
      </c>
      <c r="E52" s="13">
        <v>0</v>
      </c>
      <c r="F52" s="130">
        <v>18</v>
      </c>
      <c r="G52" s="8">
        <f>'VENTILACION SUPER-PERS'!D86*D52*(F52-E52)</f>
        <v>697.94999999999993</v>
      </c>
    </row>
    <row r="53" spans="2:7" x14ac:dyDescent="0.25">
      <c r="B53" s="4"/>
      <c r="C53" s="4"/>
      <c r="D53" s="4"/>
      <c r="E53" s="4"/>
      <c r="F53" s="130" t="s">
        <v>59</v>
      </c>
      <c r="G53" s="8">
        <f>SUM(G46:G52)</f>
        <v>1277.71182</v>
      </c>
    </row>
    <row r="54" spans="2:7" x14ac:dyDescent="0.25">
      <c r="B54" t="s">
        <v>41</v>
      </c>
    </row>
    <row r="55" spans="2:7" x14ac:dyDescent="0.25">
      <c r="B55" s="130" t="s">
        <v>100</v>
      </c>
      <c r="C55" s="130" t="s">
        <v>101</v>
      </c>
      <c r="D55" s="130" t="s">
        <v>105</v>
      </c>
      <c r="E55" s="130" t="s">
        <v>104</v>
      </c>
      <c r="F55" s="130" t="s">
        <v>103</v>
      </c>
    </row>
    <row r="56" spans="2:7" x14ac:dyDescent="0.25">
      <c r="B56" s="132">
        <f>'INFORMACION INICIAL'!C10</f>
        <v>0.5</v>
      </c>
      <c r="C56" s="8">
        <f>C52*3</f>
        <v>266.19</v>
      </c>
      <c r="D56" s="13">
        <f>'INFORMACION INICIAL'!C4</f>
        <v>10</v>
      </c>
      <c r="E56" s="130">
        <v>18</v>
      </c>
      <c r="F56" s="8">
        <f>B56*C56*1.2*1*(E56-D56)/3.6</f>
        <v>354.92</v>
      </c>
    </row>
    <row r="58" spans="2:7" x14ac:dyDescent="0.25">
      <c r="B58" t="s">
        <v>42</v>
      </c>
    </row>
    <row r="59" spans="2:7" x14ac:dyDescent="0.25">
      <c r="B59" s="130" t="s">
        <v>107</v>
      </c>
      <c r="C59" s="130" t="s">
        <v>105</v>
      </c>
      <c r="D59" s="130" t="s">
        <v>104</v>
      </c>
      <c r="E59" s="130" t="s">
        <v>103</v>
      </c>
    </row>
    <row r="60" spans="2:7" x14ac:dyDescent="0.25">
      <c r="B60" s="8">
        <f>'VENTILACION SUPER-PERS'!H87*3.6</f>
        <v>119.7855</v>
      </c>
      <c r="C60" s="13">
        <f>'INFORMACION INICIAL'!C3</f>
        <v>-1.8</v>
      </c>
      <c r="D60" s="65">
        <v>18</v>
      </c>
      <c r="E60" s="13">
        <f>B60*1.2*1*(D60-C60)/3.6</f>
        <v>790.58429999999987</v>
      </c>
    </row>
    <row r="62" spans="2:7" x14ac:dyDescent="0.25">
      <c r="B62" s="177" t="s">
        <v>306</v>
      </c>
      <c r="C62" s="177"/>
      <c r="D62" s="177"/>
      <c r="E62" s="177"/>
      <c r="F62" s="177"/>
      <c r="G62" s="177"/>
    </row>
    <row r="64" spans="2:7" x14ac:dyDescent="0.25">
      <c r="B64" t="s">
        <v>58</v>
      </c>
    </row>
    <row r="65" spans="2:7" x14ac:dyDescent="0.25">
      <c r="B65" s="32" t="s">
        <v>40</v>
      </c>
      <c r="C65" s="130" t="s">
        <v>102</v>
      </c>
      <c r="D65" s="130" t="s">
        <v>106</v>
      </c>
      <c r="E65" s="130" t="s">
        <v>105</v>
      </c>
      <c r="F65" s="130" t="s">
        <v>104</v>
      </c>
      <c r="G65" s="130" t="s">
        <v>103</v>
      </c>
    </row>
    <row r="66" spans="2:7" x14ac:dyDescent="0.25">
      <c r="B66" s="31" t="s">
        <v>43</v>
      </c>
      <c r="C66" s="8">
        <f>6.6*3</f>
        <v>19.799999999999997</v>
      </c>
      <c r="D66" s="130">
        <v>0.7</v>
      </c>
      <c r="E66" s="13">
        <f>'INFORMACION INICIAL'!C4</f>
        <v>10</v>
      </c>
      <c r="F66" s="130">
        <v>18</v>
      </c>
      <c r="G66" s="8">
        <f t="shared" ref="G66:G72" si="5">C66*D66*(F66-E66)</f>
        <v>110.87999999999998</v>
      </c>
    </row>
    <row r="67" spans="2:7" x14ac:dyDescent="0.25">
      <c r="B67" s="32" t="s">
        <v>44</v>
      </c>
      <c r="C67" s="8">
        <f>6.6*3</f>
        <v>19.799999999999997</v>
      </c>
      <c r="D67" s="130">
        <v>0.7</v>
      </c>
      <c r="E67" s="13">
        <f>'INFORMACION INICIAL'!C4</f>
        <v>10</v>
      </c>
      <c r="F67" s="130">
        <v>18</v>
      </c>
      <c r="G67" s="8">
        <f t="shared" si="5"/>
        <v>110.87999999999998</v>
      </c>
    </row>
    <row r="68" spans="2:7" x14ac:dyDescent="0.25">
      <c r="B68" s="32" t="s">
        <v>45</v>
      </c>
      <c r="C68" s="8">
        <f>17.73*4.6</f>
        <v>81.557999999999993</v>
      </c>
      <c r="D68" s="130">
        <v>0.7</v>
      </c>
      <c r="E68" s="13">
        <f>'INFORMACION INICIAL'!C4</f>
        <v>10</v>
      </c>
      <c r="F68" s="130">
        <v>18</v>
      </c>
      <c r="G68" s="8">
        <f t="shared" si="5"/>
        <v>456.7247999999999</v>
      </c>
    </row>
    <row r="69" spans="2:7" x14ac:dyDescent="0.25">
      <c r="B69" s="32" t="s">
        <v>46</v>
      </c>
      <c r="C69" s="8">
        <f>17.73*4.6-11.5*2</f>
        <v>58.557999999999993</v>
      </c>
      <c r="D69" s="130">
        <v>0.7</v>
      </c>
      <c r="E69" s="13">
        <f>'INFORMACION INICIAL'!C4</f>
        <v>10</v>
      </c>
      <c r="F69" s="130">
        <v>18</v>
      </c>
      <c r="G69" s="8">
        <f t="shared" si="5"/>
        <v>327.92479999999995</v>
      </c>
    </row>
    <row r="70" spans="2:7" x14ac:dyDescent="0.25">
      <c r="B70" s="32" t="s">
        <v>49</v>
      </c>
      <c r="C70" s="8">
        <f>(11.9)*2</f>
        <v>23.8</v>
      </c>
      <c r="D70" s="130">
        <v>1.9</v>
      </c>
      <c r="E70" s="13">
        <f>'INFORMACION INICIAL'!C4</f>
        <v>10</v>
      </c>
      <c r="F70" s="130">
        <v>18</v>
      </c>
      <c r="G70" s="8">
        <f t="shared" si="5"/>
        <v>361.76</v>
      </c>
    </row>
    <row r="71" spans="2:7" x14ac:dyDescent="0.25">
      <c r="B71" s="32" t="s">
        <v>47</v>
      </c>
      <c r="C71" s="8">
        <v>99.5</v>
      </c>
      <c r="D71" s="130">
        <v>0.33</v>
      </c>
      <c r="E71" s="13">
        <f>'INFORMACION INICIAL'!C3</f>
        <v>-1.8</v>
      </c>
      <c r="F71" s="130">
        <v>18</v>
      </c>
      <c r="G71" s="8">
        <f t="shared" si="5"/>
        <v>650.13300000000004</v>
      </c>
    </row>
    <row r="72" spans="2:7" x14ac:dyDescent="0.25">
      <c r="B72" s="32" t="s">
        <v>48</v>
      </c>
      <c r="C72" s="8">
        <f>'VENTILACION SUPER-PERS'!D88</f>
        <v>46.7</v>
      </c>
      <c r="D72" s="130">
        <v>0.33</v>
      </c>
      <c r="E72" s="13">
        <v>0</v>
      </c>
      <c r="F72" s="130">
        <v>18</v>
      </c>
      <c r="G72" s="8">
        <f t="shared" si="5"/>
        <v>277.39800000000002</v>
      </c>
    </row>
    <row r="73" spans="2:7" x14ac:dyDescent="0.25">
      <c r="B73" s="4"/>
      <c r="C73" s="4"/>
      <c r="D73" s="4"/>
      <c r="E73" s="4"/>
      <c r="F73" s="130" t="s">
        <v>59</v>
      </c>
      <c r="G73" s="8">
        <f>SUM(G66:G72)</f>
        <v>2295.7005999999997</v>
      </c>
    </row>
    <row r="74" spans="2:7" x14ac:dyDescent="0.25">
      <c r="B74" t="s">
        <v>41</v>
      </c>
    </row>
    <row r="75" spans="2:7" x14ac:dyDescent="0.25">
      <c r="B75" s="130" t="s">
        <v>100</v>
      </c>
      <c r="C75" s="130" t="s">
        <v>101</v>
      </c>
      <c r="D75" s="130" t="s">
        <v>105</v>
      </c>
      <c r="E75" s="130" t="s">
        <v>104</v>
      </c>
      <c r="F75" s="130" t="s">
        <v>103</v>
      </c>
    </row>
    <row r="76" spans="2:7" x14ac:dyDescent="0.25">
      <c r="B76" s="132">
        <f>'INFORMACION INICIAL'!C10</f>
        <v>0.5</v>
      </c>
      <c r="C76" s="8">
        <f>C72*3</f>
        <v>140.10000000000002</v>
      </c>
      <c r="D76" s="13">
        <f>'INFORMACION INICIAL'!C4</f>
        <v>10</v>
      </c>
      <c r="E76" s="130">
        <v>18</v>
      </c>
      <c r="F76" s="8">
        <f>B76*C76*1.2*1*(E76-D76)/3.6</f>
        <v>186.80000000000004</v>
      </c>
    </row>
    <row r="78" spans="2:7" x14ac:dyDescent="0.25">
      <c r="B78" t="s">
        <v>42</v>
      </c>
    </row>
    <row r="79" spans="2:7" x14ac:dyDescent="0.25">
      <c r="B79" s="130" t="s">
        <v>107</v>
      </c>
      <c r="C79" s="130" t="s">
        <v>105</v>
      </c>
      <c r="D79" s="130" t="s">
        <v>104</v>
      </c>
      <c r="E79" s="130" t="s">
        <v>103</v>
      </c>
    </row>
    <row r="80" spans="2:7" x14ac:dyDescent="0.25">
      <c r="B80" s="8">
        <f>'VENTILACION SUPER-PERS'!H88*3.6</f>
        <v>63.045000000000002</v>
      </c>
      <c r="C80" s="13">
        <f>'INFORMACION INICIAL'!C3</f>
        <v>-1.8</v>
      </c>
      <c r="D80" s="13">
        <v>18</v>
      </c>
      <c r="E80" s="13">
        <f>B80*1.2*1*(D80-C80)/3.6</f>
        <v>416.09699999999998</v>
      </c>
    </row>
    <row r="82" spans="2:7" x14ac:dyDescent="0.25">
      <c r="B82" s="177" t="s">
        <v>324</v>
      </c>
      <c r="C82" s="177"/>
      <c r="D82" s="177"/>
      <c r="E82" s="177"/>
      <c r="F82" s="177"/>
      <c r="G82" s="177"/>
    </row>
    <row r="84" spans="2:7" x14ac:dyDescent="0.25">
      <c r="B84" t="s">
        <v>58</v>
      </c>
    </row>
    <row r="85" spans="2:7" x14ac:dyDescent="0.25">
      <c r="B85" s="32" t="s">
        <v>40</v>
      </c>
      <c r="C85" s="130" t="s">
        <v>102</v>
      </c>
      <c r="D85" s="130" t="s">
        <v>106</v>
      </c>
      <c r="E85" s="130" t="s">
        <v>105</v>
      </c>
      <c r="F85" s="130" t="s">
        <v>104</v>
      </c>
      <c r="G85" s="130" t="s">
        <v>103</v>
      </c>
    </row>
    <row r="86" spans="2:7" x14ac:dyDescent="0.25">
      <c r="B86" s="31" t="s">
        <v>43</v>
      </c>
      <c r="C86" s="8">
        <f>61*3</f>
        <v>183</v>
      </c>
      <c r="D86" s="130">
        <v>0.7</v>
      </c>
      <c r="E86" s="13">
        <f>'INFORMACION INICIAL'!C4</f>
        <v>10</v>
      </c>
      <c r="F86" s="130">
        <v>18</v>
      </c>
      <c r="G86" s="8">
        <f t="shared" ref="G86:G87" si="6">C86*D86*(F86-E86)</f>
        <v>1024.8</v>
      </c>
    </row>
    <row r="87" spans="2:7" x14ac:dyDescent="0.25">
      <c r="B87" s="32" t="s">
        <v>44</v>
      </c>
      <c r="C87" s="8">
        <f>C86</f>
        <v>183</v>
      </c>
      <c r="D87" s="130">
        <v>0.7</v>
      </c>
      <c r="E87" s="13">
        <f>'INFORMACION INICIAL'!C4</f>
        <v>10</v>
      </c>
      <c r="F87" s="130">
        <v>18</v>
      </c>
      <c r="G87" s="8">
        <f t="shared" si="6"/>
        <v>1024.8</v>
      </c>
    </row>
    <row r="88" spans="2:7" x14ac:dyDescent="0.25">
      <c r="B88" s="32" t="s">
        <v>45</v>
      </c>
      <c r="C88" s="8">
        <f>2.45*3</f>
        <v>7.3500000000000005</v>
      </c>
      <c r="D88" s="130">
        <v>0.7</v>
      </c>
      <c r="E88" s="13">
        <f>'INFORMACION INICIAL'!C4</f>
        <v>10</v>
      </c>
      <c r="F88" s="130">
        <v>18</v>
      </c>
      <c r="G88" s="8">
        <f>C88*D88*(F88-E88)</f>
        <v>41.160000000000004</v>
      </c>
    </row>
    <row r="89" spans="2:7" x14ac:dyDescent="0.25">
      <c r="B89" s="32" t="s">
        <v>46</v>
      </c>
      <c r="C89" s="8">
        <f>C88</f>
        <v>7.3500000000000005</v>
      </c>
      <c r="D89" s="130">
        <v>0.7</v>
      </c>
      <c r="E89" s="13">
        <f>'INFORMACION INICIAL'!C4</f>
        <v>10</v>
      </c>
      <c r="F89" s="130">
        <v>18</v>
      </c>
      <c r="G89" s="8">
        <f>C89*D89*(F89-E89)</f>
        <v>41.160000000000004</v>
      </c>
    </row>
    <row r="90" spans="2:7" x14ac:dyDescent="0.25">
      <c r="B90" s="32" t="s">
        <v>49</v>
      </c>
      <c r="C90" s="8">
        <v>0</v>
      </c>
      <c r="D90" s="130">
        <v>1.9</v>
      </c>
      <c r="E90" s="13">
        <f>'INFORMACION INICIAL'!C4</f>
        <v>10</v>
      </c>
      <c r="F90" s="130">
        <v>18</v>
      </c>
      <c r="G90" s="8">
        <f t="shared" ref="G90:G92" si="7">C90*D90*(F90-E90)</f>
        <v>0</v>
      </c>
    </row>
    <row r="91" spans="2:7" x14ac:dyDescent="0.25">
      <c r="B91" s="32" t="s">
        <v>47</v>
      </c>
      <c r="C91" s="8">
        <f>61*2.45</f>
        <v>149.45000000000002</v>
      </c>
      <c r="D91" s="130">
        <v>0.33</v>
      </c>
      <c r="E91" s="13">
        <f>'INFORMACION INICIAL'!C3</f>
        <v>-1.8</v>
      </c>
      <c r="F91" s="130">
        <v>18</v>
      </c>
      <c r="G91" s="8">
        <f t="shared" si="7"/>
        <v>976.50630000000012</v>
      </c>
    </row>
    <row r="92" spans="2:7" x14ac:dyDescent="0.25">
      <c r="B92" s="32" t="s">
        <v>48</v>
      </c>
      <c r="C92" s="8">
        <f>C91</f>
        <v>149.45000000000002</v>
      </c>
      <c r="D92" s="130">
        <v>0.33</v>
      </c>
      <c r="E92" s="13">
        <v>0</v>
      </c>
      <c r="F92" s="130">
        <v>18</v>
      </c>
      <c r="G92" s="8">
        <f t="shared" si="7"/>
        <v>887.73300000000017</v>
      </c>
    </row>
    <row r="93" spans="2:7" x14ac:dyDescent="0.25">
      <c r="B93" s="4"/>
      <c r="C93" s="4"/>
      <c r="D93" s="4"/>
      <c r="E93" s="4"/>
      <c r="F93" s="130" t="s">
        <v>59</v>
      </c>
      <c r="G93" s="8">
        <f>SUM(G86:G92)</f>
        <v>3996.1592999999998</v>
      </c>
    </row>
    <row r="94" spans="2:7" x14ac:dyDescent="0.25">
      <c r="B94" t="s">
        <v>41</v>
      </c>
    </row>
    <row r="95" spans="2:7" x14ac:dyDescent="0.25">
      <c r="B95" s="130" t="s">
        <v>100</v>
      </c>
      <c r="C95" s="130" t="s">
        <v>101</v>
      </c>
      <c r="D95" s="130" t="s">
        <v>105</v>
      </c>
      <c r="E95" s="130" t="s">
        <v>104</v>
      </c>
      <c r="F95" s="130" t="s">
        <v>103</v>
      </c>
    </row>
    <row r="96" spans="2:7" x14ac:dyDescent="0.25">
      <c r="B96" s="132">
        <f>'INFORMACION INICIAL'!C10</f>
        <v>0.5</v>
      </c>
      <c r="C96" s="8">
        <f>C92*3</f>
        <v>448.35</v>
      </c>
      <c r="D96" s="13">
        <f>'INFORMACION INICIAL'!C4</f>
        <v>10</v>
      </c>
      <c r="E96" s="130">
        <v>18</v>
      </c>
      <c r="F96" s="8">
        <f>B96*C96*1.2*1*(E96-D96)/3.6</f>
        <v>597.79999999999995</v>
      </c>
    </row>
    <row r="98" spans="2:7" x14ac:dyDescent="0.25">
      <c r="B98" t="s">
        <v>42</v>
      </c>
    </row>
    <row r="99" spans="2:7" x14ac:dyDescent="0.25">
      <c r="B99" s="130" t="s">
        <v>107</v>
      </c>
      <c r="C99" s="130" t="s">
        <v>105</v>
      </c>
      <c r="D99" s="130" t="s">
        <v>104</v>
      </c>
      <c r="E99" s="130" t="s">
        <v>103</v>
      </c>
    </row>
    <row r="100" spans="2:7" x14ac:dyDescent="0.25">
      <c r="B100" s="8">
        <f>'VENTILACION SUPER-PERS'!H89*3.6</f>
        <v>201.75749999999999</v>
      </c>
      <c r="C100" s="13">
        <f>'INFORMACION INICIAL'!C3</f>
        <v>-1.8</v>
      </c>
      <c r="D100" s="13">
        <v>18</v>
      </c>
      <c r="E100" s="13">
        <f>B100*1.2*1*(D100-C100)/3.6</f>
        <v>1331.5995</v>
      </c>
    </row>
    <row r="102" spans="2:7" x14ac:dyDescent="0.25">
      <c r="B102" s="177" t="s">
        <v>324</v>
      </c>
      <c r="C102" s="177"/>
      <c r="D102" s="177"/>
      <c r="E102" s="177"/>
      <c r="F102" s="177"/>
      <c r="G102" s="177"/>
    </row>
    <row r="104" spans="2:7" x14ac:dyDescent="0.25">
      <c r="B104" t="s">
        <v>58</v>
      </c>
    </row>
    <row r="105" spans="2:7" x14ac:dyDescent="0.25">
      <c r="B105" s="32" t="s">
        <v>40</v>
      </c>
      <c r="C105" s="136" t="s">
        <v>102</v>
      </c>
      <c r="D105" s="136" t="s">
        <v>106</v>
      </c>
      <c r="E105" s="136" t="s">
        <v>105</v>
      </c>
      <c r="F105" s="136" t="s">
        <v>104</v>
      </c>
      <c r="G105" s="136" t="s">
        <v>103</v>
      </c>
    </row>
    <row r="106" spans="2:7" x14ac:dyDescent="0.25">
      <c r="B106" s="31" t="s">
        <v>43</v>
      </c>
      <c r="C106" s="8">
        <f>22*3</f>
        <v>66</v>
      </c>
      <c r="D106" s="136">
        <v>0.7</v>
      </c>
      <c r="E106" s="13">
        <f>'INFORMACION INICIAL'!C4</f>
        <v>10</v>
      </c>
      <c r="F106" s="136">
        <v>18</v>
      </c>
      <c r="G106" s="8">
        <f t="shared" ref="G106:G107" si="8">C106*D106*(F106-E106)</f>
        <v>369.59999999999997</v>
      </c>
    </row>
    <row r="107" spans="2:7" x14ac:dyDescent="0.25">
      <c r="B107" s="32" t="s">
        <v>44</v>
      </c>
      <c r="C107" s="8">
        <f>C106</f>
        <v>66</v>
      </c>
      <c r="D107" s="136">
        <v>0.7</v>
      </c>
      <c r="E107" s="13">
        <f>'INFORMACION INICIAL'!C4</f>
        <v>10</v>
      </c>
      <c r="F107" s="136">
        <v>18</v>
      </c>
      <c r="G107" s="8">
        <f t="shared" si="8"/>
        <v>369.59999999999997</v>
      </c>
    </row>
    <row r="108" spans="2:7" x14ac:dyDescent="0.25">
      <c r="B108" s="32" t="s">
        <v>45</v>
      </c>
      <c r="C108" s="8">
        <f>C111/22*3</f>
        <v>7.4454545454545453</v>
      </c>
      <c r="D108" s="136">
        <v>0.7</v>
      </c>
      <c r="E108" s="13">
        <f>'INFORMACION INICIAL'!C4</f>
        <v>10</v>
      </c>
      <c r="F108" s="136">
        <v>18</v>
      </c>
      <c r="G108" s="8">
        <f>C108*D108*(F108-E108)</f>
        <v>41.694545454545448</v>
      </c>
    </row>
    <row r="109" spans="2:7" x14ac:dyDescent="0.25">
      <c r="B109" s="32" t="s">
        <v>46</v>
      </c>
      <c r="C109" s="8">
        <f>C108</f>
        <v>7.4454545454545453</v>
      </c>
      <c r="D109" s="136">
        <v>0.7</v>
      </c>
      <c r="E109" s="13">
        <f>'INFORMACION INICIAL'!C4</f>
        <v>10</v>
      </c>
      <c r="F109" s="136">
        <v>18</v>
      </c>
      <c r="G109" s="8">
        <f>C109*D109*(F109-E109)</f>
        <v>41.694545454545448</v>
      </c>
    </row>
    <row r="110" spans="2:7" x14ac:dyDescent="0.25">
      <c r="B110" s="32" t="s">
        <v>49</v>
      </c>
      <c r="C110" s="8">
        <v>0</v>
      </c>
      <c r="D110" s="136">
        <v>1.9</v>
      </c>
      <c r="E110" s="13">
        <f>'INFORMACION INICIAL'!C4</f>
        <v>10</v>
      </c>
      <c r="F110" s="136">
        <v>18</v>
      </c>
      <c r="G110" s="8">
        <f t="shared" ref="G110:G112" si="9">C110*D110*(F110-E110)</f>
        <v>0</v>
      </c>
    </row>
    <row r="111" spans="2:7" x14ac:dyDescent="0.25">
      <c r="B111" s="32" t="s">
        <v>47</v>
      </c>
      <c r="C111" s="8">
        <f>C112</f>
        <v>54.6</v>
      </c>
      <c r="D111" s="136">
        <v>0.33</v>
      </c>
      <c r="E111" s="13">
        <f>'INFORMACION INICIAL'!C3</f>
        <v>-1.8</v>
      </c>
      <c r="F111" s="136">
        <v>18</v>
      </c>
      <c r="G111" s="8">
        <f t="shared" si="9"/>
        <v>356.75640000000004</v>
      </c>
    </row>
    <row r="112" spans="2:7" x14ac:dyDescent="0.25">
      <c r="B112" s="32" t="s">
        <v>48</v>
      </c>
      <c r="C112" s="8">
        <f>'VENTILACION SUPER-PERS'!D90</f>
        <v>54.6</v>
      </c>
      <c r="D112" s="136">
        <v>0.33</v>
      </c>
      <c r="E112" s="13">
        <v>0</v>
      </c>
      <c r="F112" s="136">
        <v>18</v>
      </c>
      <c r="G112" s="8">
        <f t="shared" si="9"/>
        <v>324.32400000000001</v>
      </c>
    </row>
    <row r="113" spans="2:7" x14ac:dyDescent="0.25">
      <c r="B113" s="4"/>
      <c r="C113" s="4"/>
      <c r="D113" s="4"/>
      <c r="E113" s="4"/>
      <c r="F113" s="136" t="s">
        <v>59</v>
      </c>
      <c r="G113" s="8">
        <f>SUM(G106:G112)</f>
        <v>1503.6694909090909</v>
      </c>
    </row>
    <row r="114" spans="2:7" x14ac:dyDescent="0.25">
      <c r="B114" t="s">
        <v>41</v>
      </c>
    </row>
    <row r="115" spans="2:7" x14ac:dyDescent="0.25">
      <c r="B115" s="136" t="s">
        <v>100</v>
      </c>
      <c r="C115" s="136" t="s">
        <v>101</v>
      </c>
      <c r="D115" s="136" t="s">
        <v>105</v>
      </c>
      <c r="E115" s="136" t="s">
        <v>104</v>
      </c>
      <c r="F115" s="136" t="s">
        <v>103</v>
      </c>
    </row>
    <row r="116" spans="2:7" x14ac:dyDescent="0.25">
      <c r="B116" s="136">
        <v>0.5</v>
      </c>
      <c r="C116" s="8">
        <f>C112*3</f>
        <v>163.80000000000001</v>
      </c>
      <c r="D116" s="13">
        <f>'INFORMACION INICIAL'!C4</f>
        <v>10</v>
      </c>
      <c r="E116" s="136">
        <v>18</v>
      </c>
      <c r="F116" s="8">
        <f>B116*C116*1.2*1*(E116-D116)/3.6</f>
        <v>218.4</v>
      </c>
    </row>
    <row r="118" spans="2:7" x14ac:dyDescent="0.25">
      <c r="B118" t="s">
        <v>42</v>
      </c>
    </row>
    <row r="119" spans="2:7" x14ac:dyDescent="0.25">
      <c r="B119" s="136" t="s">
        <v>107</v>
      </c>
      <c r="C119" s="136" t="s">
        <v>105</v>
      </c>
      <c r="D119" s="136" t="s">
        <v>104</v>
      </c>
      <c r="E119" s="136" t="s">
        <v>103</v>
      </c>
    </row>
    <row r="120" spans="2:7" x14ac:dyDescent="0.25">
      <c r="B120" s="8">
        <f>'VENTILACION SUPER-PERS'!H90*3.6</f>
        <v>73.709999999999994</v>
      </c>
      <c r="C120" s="13">
        <f>'INFORMACION INICIAL'!C43</f>
        <v>0</v>
      </c>
      <c r="D120" s="13">
        <v>18</v>
      </c>
      <c r="E120" s="13">
        <f>B120*1.2*1*(D120-C120)/3.6</f>
        <v>442.25999999999993</v>
      </c>
    </row>
  </sheetData>
  <mergeCells count="6">
    <mergeCell ref="B102:G102"/>
    <mergeCell ref="B2:G2"/>
    <mergeCell ref="B22:G22"/>
    <mergeCell ref="B42:G42"/>
    <mergeCell ref="B62:G62"/>
    <mergeCell ref="B82:G8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74"/>
  <sheetViews>
    <sheetView topLeftCell="A41" zoomScale="70" zoomScaleNormal="70" workbookViewId="0">
      <selection activeCell="I19" sqref="I19"/>
    </sheetView>
  </sheetViews>
  <sheetFormatPr baseColWidth="10" defaultRowHeight="15" x14ac:dyDescent="0.25"/>
  <cols>
    <col min="2" max="2" width="19.85546875" bestFit="1" customWidth="1"/>
    <col min="3" max="3" width="19.85546875" style="141" customWidth="1"/>
    <col min="4" max="4" width="16.7109375" bestFit="1" customWidth="1"/>
    <col min="5" max="5" width="10.140625" bestFit="1" customWidth="1"/>
    <col min="6" max="6" width="13.42578125" bestFit="1" customWidth="1"/>
    <col min="7" max="7" width="12.5703125" customWidth="1"/>
    <col min="8" max="8" width="13" bestFit="1" customWidth="1"/>
    <col min="9" max="9" width="12.5703125" bestFit="1" customWidth="1"/>
    <col min="12" max="12" width="27.42578125" bestFit="1" customWidth="1"/>
  </cols>
  <sheetData>
    <row r="2" spans="2:13" x14ac:dyDescent="0.25">
      <c r="B2" s="37" t="s">
        <v>0</v>
      </c>
      <c r="C2" s="144" t="s">
        <v>397</v>
      </c>
      <c r="D2" s="137" t="s">
        <v>332</v>
      </c>
      <c r="E2" s="137" t="s">
        <v>368</v>
      </c>
      <c r="F2" s="137" t="s">
        <v>332</v>
      </c>
      <c r="G2" s="137" t="s">
        <v>368</v>
      </c>
      <c r="H2" s="137" t="s">
        <v>332</v>
      </c>
      <c r="I2" s="137" t="s">
        <v>368</v>
      </c>
      <c r="L2" s="140" t="s">
        <v>382</v>
      </c>
      <c r="M2" s="3" t="s">
        <v>385</v>
      </c>
    </row>
    <row r="3" spans="2:13" x14ac:dyDescent="0.25">
      <c r="B3" s="138" t="s">
        <v>5</v>
      </c>
      <c r="C3" s="138"/>
      <c r="D3" s="137" t="s">
        <v>151</v>
      </c>
      <c r="E3" s="137">
        <v>2</v>
      </c>
      <c r="F3" s="137" t="s">
        <v>333</v>
      </c>
      <c r="G3" s="137">
        <v>1</v>
      </c>
      <c r="H3" s="137" t="s">
        <v>134</v>
      </c>
      <c r="I3" s="137" t="s">
        <v>134</v>
      </c>
      <c r="L3" s="32" t="s">
        <v>383</v>
      </c>
      <c r="M3" s="137" t="s">
        <v>384</v>
      </c>
    </row>
    <row r="4" spans="2:13" x14ac:dyDescent="0.25">
      <c r="B4" s="138" t="s">
        <v>6</v>
      </c>
      <c r="C4" s="138"/>
      <c r="D4" s="137" t="s">
        <v>334</v>
      </c>
      <c r="E4" s="137">
        <v>2</v>
      </c>
      <c r="F4" s="137" t="s">
        <v>335</v>
      </c>
      <c r="G4" s="137">
        <v>1</v>
      </c>
      <c r="H4" s="137" t="s">
        <v>134</v>
      </c>
      <c r="I4" s="137" t="s">
        <v>134</v>
      </c>
    </row>
    <row r="5" spans="2:13" x14ac:dyDescent="0.25">
      <c r="B5" s="138" t="s">
        <v>8</v>
      </c>
      <c r="C5" s="138"/>
      <c r="D5" s="137" t="s">
        <v>336</v>
      </c>
      <c r="E5" s="137">
        <v>2</v>
      </c>
      <c r="F5" s="137" t="s">
        <v>337</v>
      </c>
      <c r="G5" s="137">
        <v>1</v>
      </c>
      <c r="H5" s="137" t="s">
        <v>134</v>
      </c>
      <c r="I5" s="137" t="s">
        <v>134</v>
      </c>
    </row>
    <row r="6" spans="2:13" x14ac:dyDescent="0.25">
      <c r="B6" s="138" t="s">
        <v>7</v>
      </c>
      <c r="C6" s="138"/>
      <c r="D6" s="137" t="s">
        <v>338</v>
      </c>
      <c r="E6" s="137">
        <v>2</v>
      </c>
      <c r="F6" s="137" t="s">
        <v>339</v>
      </c>
      <c r="G6" s="137">
        <v>1</v>
      </c>
      <c r="H6" s="137" t="s">
        <v>134</v>
      </c>
      <c r="I6" s="137" t="s">
        <v>134</v>
      </c>
    </row>
    <row r="7" spans="2:13" x14ac:dyDescent="0.25">
      <c r="B7" s="138" t="s">
        <v>9</v>
      </c>
      <c r="C7" s="138"/>
      <c r="D7" s="137" t="s">
        <v>340</v>
      </c>
      <c r="E7" s="137">
        <v>2</v>
      </c>
      <c r="F7" s="137" t="s">
        <v>341</v>
      </c>
      <c r="G7" s="137">
        <v>1</v>
      </c>
      <c r="H7" s="137" t="s">
        <v>134</v>
      </c>
      <c r="I7" s="137" t="s">
        <v>134</v>
      </c>
    </row>
    <row r="8" spans="2:13" x14ac:dyDescent="0.25">
      <c r="B8" s="138" t="s">
        <v>10</v>
      </c>
      <c r="C8" s="138"/>
      <c r="D8" s="137" t="s">
        <v>342</v>
      </c>
      <c r="E8" s="137">
        <v>2</v>
      </c>
      <c r="F8" s="137" t="s">
        <v>343</v>
      </c>
      <c r="G8" s="137">
        <v>1</v>
      </c>
      <c r="H8" s="137" t="s">
        <v>134</v>
      </c>
      <c r="I8" s="137" t="s">
        <v>134</v>
      </c>
    </row>
    <row r="9" spans="2:13" x14ac:dyDescent="0.25">
      <c r="B9" s="138" t="s">
        <v>1</v>
      </c>
      <c r="C9" s="138"/>
      <c r="D9" s="137" t="s">
        <v>344</v>
      </c>
      <c r="E9" s="137">
        <v>2</v>
      </c>
      <c r="F9" s="137" t="s">
        <v>345</v>
      </c>
      <c r="G9" s="137">
        <v>1</v>
      </c>
      <c r="H9" s="137" t="s">
        <v>134</v>
      </c>
      <c r="I9" s="137" t="s">
        <v>134</v>
      </c>
    </row>
    <row r="10" spans="2:13" x14ac:dyDescent="0.25">
      <c r="B10" s="138" t="s">
        <v>2</v>
      </c>
      <c r="C10" s="138"/>
      <c r="D10" s="137" t="s">
        <v>346</v>
      </c>
      <c r="E10" s="137">
        <v>2</v>
      </c>
      <c r="F10" s="137" t="s">
        <v>347</v>
      </c>
      <c r="G10" s="137">
        <v>1</v>
      </c>
      <c r="H10" s="137" t="s">
        <v>134</v>
      </c>
      <c r="I10" s="137" t="s">
        <v>134</v>
      </c>
    </row>
    <row r="11" spans="2:13" x14ac:dyDescent="0.25">
      <c r="B11" s="138" t="s">
        <v>3</v>
      </c>
      <c r="C11" s="138"/>
      <c r="D11" s="137" t="s">
        <v>348</v>
      </c>
      <c r="E11" s="137">
        <v>2</v>
      </c>
      <c r="F11" s="137" t="s">
        <v>349</v>
      </c>
      <c r="G11" s="137">
        <v>1</v>
      </c>
      <c r="H11" s="137" t="s">
        <v>134</v>
      </c>
      <c r="I11" s="137" t="s">
        <v>134</v>
      </c>
    </row>
    <row r="12" spans="2:13" x14ac:dyDescent="0.25">
      <c r="B12" s="138" t="s">
        <v>4</v>
      </c>
      <c r="C12" s="138"/>
      <c r="D12" s="137" t="s">
        <v>350</v>
      </c>
      <c r="E12" s="137">
        <v>2</v>
      </c>
      <c r="F12" s="137" t="s">
        <v>351</v>
      </c>
      <c r="G12" s="137">
        <v>1</v>
      </c>
      <c r="H12" s="137" t="s">
        <v>134</v>
      </c>
      <c r="I12" s="137" t="s">
        <v>134</v>
      </c>
    </row>
    <row r="13" spans="2:13" x14ac:dyDescent="0.25">
      <c r="B13" s="138" t="s">
        <v>19</v>
      </c>
      <c r="C13" s="138"/>
      <c r="D13" s="137" t="s">
        <v>352</v>
      </c>
      <c r="E13" s="137">
        <v>2</v>
      </c>
      <c r="F13" s="137" t="s">
        <v>353</v>
      </c>
      <c r="G13" s="137">
        <v>1</v>
      </c>
      <c r="H13" s="137" t="s">
        <v>134</v>
      </c>
      <c r="I13" s="137" t="s">
        <v>134</v>
      </c>
    </row>
    <row r="14" spans="2:13" x14ac:dyDescent="0.25">
      <c r="B14" s="138" t="s">
        <v>20</v>
      </c>
      <c r="C14" s="138"/>
      <c r="D14" s="137" t="s">
        <v>354</v>
      </c>
      <c r="E14" s="137">
        <v>2</v>
      </c>
      <c r="F14" s="137" t="s">
        <v>355</v>
      </c>
      <c r="G14" s="137">
        <v>1</v>
      </c>
      <c r="H14" s="137" t="s">
        <v>134</v>
      </c>
      <c r="I14" s="137" t="s">
        <v>134</v>
      </c>
    </row>
    <row r="15" spans="2:13" x14ac:dyDescent="0.25">
      <c r="B15" s="138" t="s">
        <v>18</v>
      </c>
      <c r="C15" s="138"/>
      <c r="D15" s="137" t="s">
        <v>356</v>
      </c>
      <c r="E15" s="137">
        <v>2</v>
      </c>
      <c r="F15" s="137" t="s">
        <v>357</v>
      </c>
      <c r="G15" s="137">
        <v>1</v>
      </c>
      <c r="H15" s="137" t="s">
        <v>134</v>
      </c>
      <c r="I15" s="137" t="s">
        <v>134</v>
      </c>
    </row>
    <row r="16" spans="2:13" x14ac:dyDescent="0.25">
      <c r="B16" s="138" t="s">
        <v>17</v>
      </c>
      <c r="C16" s="138"/>
      <c r="D16" s="137" t="s">
        <v>358</v>
      </c>
      <c r="E16" s="137">
        <v>2</v>
      </c>
      <c r="F16" s="137" t="s">
        <v>359</v>
      </c>
      <c r="G16" s="137">
        <v>1</v>
      </c>
      <c r="H16" s="137" t="s">
        <v>134</v>
      </c>
      <c r="I16" s="137" t="s">
        <v>134</v>
      </c>
    </row>
    <row r="17" spans="2:9" x14ac:dyDescent="0.25">
      <c r="B17" s="138" t="s">
        <v>16</v>
      </c>
      <c r="C17" s="138"/>
      <c r="D17" s="137" t="s">
        <v>360</v>
      </c>
      <c r="E17" s="137">
        <v>2</v>
      </c>
      <c r="F17" s="137" t="s">
        <v>361</v>
      </c>
      <c r="G17" s="137">
        <v>1</v>
      </c>
      <c r="H17" s="137" t="s">
        <v>134</v>
      </c>
      <c r="I17" s="137" t="s">
        <v>134</v>
      </c>
    </row>
    <row r="18" spans="2:9" x14ac:dyDescent="0.25">
      <c r="B18" s="138" t="s">
        <v>15</v>
      </c>
      <c r="C18" s="138"/>
      <c r="D18" s="137" t="s">
        <v>362</v>
      </c>
      <c r="E18" s="137">
        <v>2</v>
      </c>
      <c r="F18" s="137" t="s">
        <v>363</v>
      </c>
      <c r="G18" s="137">
        <v>1</v>
      </c>
      <c r="H18" s="137" t="s">
        <v>134</v>
      </c>
      <c r="I18" s="137" t="s">
        <v>134</v>
      </c>
    </row>
    <row r="19" spans="2:9" x14ac:dyDescent="0.25">
      <c r="B19" s="138" t="s">
        <v>14</v>
      </c>
      <c r="C19" s="138"/>
      <c r="D19" s="137" t="s">
        <v>364</v>
      </c>
      <c r="E19" s="137">
        <v>2</v>
      </c>
      <c r="F19" s="137" t="s">
        <v>365</v>
      </c>
      <c r="G19" s="137">
        <v>1</v>
      </c>
      <c r="H19" s="137" t="s">
        <v>134</v>
      </c>
      <c r="I19" s="137" t="s">
        <v>134</v>
      </c>
    </row>
    <row r="20" spans="2:9" x14ac:dyDescent="0.25">
      <c r="B20" s="138" t="s">
        <v>13</v>
      </c>
      <c r="C20" s="138"/>
      <c r="D20" s="137" t="s">
        <v>366</v>
      </c>
      <c r="E20" s="137">
        <v>2</v>
      </c>
      <c r="F20" s="137" t="s">
        <v>367</v>
      </c>
      <c r="G20" s="137">
        <v>1</v>
      </c>
      <c r="H20" s="137" t="s">
        <v>134</v>
      </c>
      <c r="I20" s="137" t="s">
        <v>134</v>
      </c>
    </row>
    <row r="21" spans="2:9" x14ac:dyDescent="0.25">
      <c r="B21" s="138" t="s">
        <v>21</v>
      </c>
      <c r="C21" s="138"/>
      <c r="D21" s="137" t="s">
        <v>369</v>
      </c>
      <c r="E21" s="137">
        <v>2</v>
      </c>
      <c r="F21" s="137" t="s">
        <v>134</v>
      </c>
      <c r="G21" s="137" t="s">
        <v>134</v>
      </c>
      <c r="H21" s="137" t="s">
        <v>134</v>
      </c>
      <c r="I21" s="137" t="s">
        <v>134</v>
      </c>
    </row>
    <row r="22" spans="2:9" x14ac:dyDescent="0.25">
      <c r="B22" s="138" t="s">
        <v>22</v>
      </c>
      <c r="C22" s="138"/>
      <c r="D22" s="137" t="s">
        <v>370</v>
      </c>
      <c r="E22" s="137">
        <v>1</v>
      </c>
      <c r="F22" s="137" t="s">
        <v>371</v>
      </c>
      <c r="G22" s="137">
        <v>1</v>
      </c>
      <c r="H22" s="137" t="s">
        <v>134</v>
      </c>
      <c r="I22" s="137" t="s">
        <v>134</v>
      </c>
    </row>
    <row r="23" spans="2:9" x14ac:dyDescent="0.25">
      <c r="B23" s="138" t="s">
        <v>23</v>
      </c>
      <c r="C23" s="138"/>
      <c r="D23" s="137" t="s">
        <v>372</v>
      </c>
      <c r="E23" s="137">
        <v>2</v>
      </c>
      <c r="F23" s="137" t="s">
        <v>134</v>
      </c>
      <c r="G23" s="137" t="s">
        <v>134</v>
      </c>
      <c r="H23" s="137" t="s">
        <v>134</v>
      </c>
      <c r="I23" s="137" t="s">
        <v>134</v>
      </c>
    </row>
    <row r="24" spans="2:9" x14ac:dyDescent="0.25">
      <c r="B24" s="138" t="s">
        <v>24</v>
      </c>
      <c r="C24" s="138"/>
      <c r="D24" s="137" t="s">
        <v>373</v>
      </c>
      <c r="E24" s="137">
        <v>1</v>
      </c>
      <c r="F24" s="137" t="s">
        <v>151</v>
      </c>
      <c r="G24" s="137">
        <v>1</v>
      </c>
      <c r="H24" s="137" t="s">
        <v>134</v>
      </c>
      <c r="I24" s="137" t="s">
        <v>134</v>
      </c>
    </row>
    <row r="25" spans="2:9" x14ac:dyDescent="0.25">
      <c r="B25" s="138" t="s">
        <v>109</v>
      </c>
      <c r="C25" s="138"/>
      <c r="D25" s="137" t="s">
        <v>333</v>
      </c>
      <c r="E25" s="137">
        <v>1</v>
      </c>
      <c r="F25" s="137" t="s">
        <v>374</v>
      </c>
      <c r="G25" s="137">
        <v>1</v>
      </c>
      <c r="H25" s="137" t="s">
        <v>134</v>
      </c>
      <c r="I25" s="137" t="s">
        <v>134</v>
      </c>
    </row>
    <row r="26" spans="2:9" x14ac:dyDescent="0.25">
      <c r="B26" s="138" t="s">
        <v>110</v>
      </c>
      <c r="C26" s="138"/>
      <c r="D26" s="137" t="s">
        <v>333</v>
      </c>
      <c r="E26" s="137">
        <v>1</v>
      </c>
      <c r="F26" s="137" t="s">
        <v>374</v>
      </c>
      <c r="G26" s="137">
        <v>1</v>
      </c>
      <c r="H26" s="137" t="s">
        <v>134</v>
      </c>
      <c r="I26" s="137" t="s">
        <v>134</v>
      </c>
    </row>
    <row r="27" spans="2:9" x14ac:dyDescent="0.25">
      <c r="B27" s="138" t="s">
        <v>81</v>
      </c>
      <c r="C27" s="138"/>
      <c r="D27" s="137" t="s">
        <v>375</v>
      </c>
      <c r="E27" s="137">
        <v>1</v>
      </c>
      <c r="F27" s="137" t="s">
        <v>134</v>
      </c>
      <c r="G27" s="137" t="s">
        <v>134</v>
      </c>
      <c r="H27" s="137" t="s">
        <v>134</v>
      </c>
      <c r="I27" s="137" t="s">
        <v>134</v>
      </c>
    </row>
    <row r="28" spans="2:9" x14ac:dyDescent="0.25">
      <c r="B28" s="138" t="s">
        <v>82</v>
      </c>
      <c r="C28" s="138"/>
      <c r="D28" s="137" t="s">
        <v>375</v>
      </c>
      <c r="E28" s="137">
        <v>1</v>
      </c>
      <c r="F28" s="137" t="s">
        <v>134</v>
      </c>
      <c r="G28" s="137" t="s">
        <v>134</v>
      </c>
      <c r="H28" s="137" t="s">
        <v>134</v>
      </c>
      <c r="I28" s="137" t="s">
        <v>134</v>
      </c>
    </row>
    <row r="29" spans="2:9" x14ac:dyDescent="0.25">
      <c r="B29" s="138" t="s">
        <v>83</v>
      </c>
      <c r="C29" s="138"/>
      <c r="D29" s="137" t="s">
        <v>375</v>
      </c>
      <c r="E29" s="137">
        <v>1</v>
      </c>
      <c r="F29" s="137" t="s">
        <v>134</v>
      </c>
      <c r="G29" s="137" t="s">
        <v>134</v>
      </c>
      <c r="H29" s="137" t="s">
        <v>134</v>
      </c>
      <c r="I29" s="137" t="s">
        <v>134</v>
      </c>
    </row>
    <row r="30" spans="2:9" x14ac:dyDescent="0.25">
      <c r="B30" s="138" t="s">
        <v>84</v>
      </c>
      <c r="C30" s="138"/>
      <c r="D30" s="137" t="s">
        <v>375</v>
      </c>
      <c r="E30" s="137">
        <v>1</v>
      </c>
      <c r="F30" s="137" t="s">
        <v>134</v>
      </c>
      <c r="G30" s="137" t="s">
        <v>134</v>
      </c>
      <c r="H30" s="137" t="s">
        <v>134</v>
      </c>
      <c r="I30" s="137" t="s">
        <v>134</v>
      </c>
    </row>
    <row r="31" spans="2:9" x14ac:dyDescent="0.25">
      <c r="B31" s="138" t="s">
        <v>85</v>
      </c>
      <c r="C31" s="138"/>
      <c r="D31" s="137" t="s">
        <v>376</v>
      </c>
      <c r="E31" s="137">
        <v>1</v>
      </c>
      <c r="F31" s="137" t="s">
        <v>134</v>
      </c>
      <c r="G31" s="137" t="s">
        <v>134</v>
      </c>
      <c r="H31" s="137" t="s">
        <v>134</v>
      </c>
      <c r="I31" s="137" t="s">
        <v>134</v>
      </c>
    </row>
    <row r="32" spans="2:9" x14ac:dyDescent="0.25">
      <c r="B32" s="138" t="s">
        <v>86</v>
      </c>
      <c r="C32" s="138"/>
      <c r="D32" s="137" t="s">
        <v>376</v>
      </c>
      <c r="E32" s="137">
        <v>1</v>
      </c>
      <c r="F32" s="137" t="s">
        <v>134</v>
      </c>
      <c r="G32" s="137" t="s">
        <v>134</v>
      </c>
      <c r="H32" s="137" t="s">
        <v>134</v>
      </c>
      <c r="I32" s="137" t="s">
        <v>134</v>
      </c>
    </row>
    <row r="33" spans="2:9" x14ac:dyDescent="0.25">
      <c r="B33" s="138" t="s">
        <v>27</v>
      </c>
      <c r="C33" s="138"/>
      <c r="D33" s="137" t="s">
        <v>377</v>
      </c>
      <c r="E33" s="137"/>
      <c r="F33" s="137" t="s">
        <v>134</v>
      </c>
      <c r="G33" s="137" t="s">
        <v>134</v>
      </c>
      <c r="H33" s="137" t="s">
        <v>134</v>
      </c>
      <c r="I33" s="137" t="s">
        <v>134</v>
      </c>
    </row>
    <row r="34" spans="2:9" x14ac:dyDescent="0.25">
      <c r="B34" s="138" t="s">
        <v>28</v>
      </c>
      <c r="C34" s="138"/>
      <c r="D34" s="137" t="s">
        <v>376</v>
      </c>
      <c r="E34" s="137">
        <v>1</v>
      </c>
      <c r="F34" s="137" t="s">
        <v>134</v>
      </c>
      <c r="G34" s="137" t="s">
        <v>134</v>
      </c>
      <c r="H34" s="137" t="s">
        <v>134</v>
      </c>
      <c r="I34" s="137" t="s">
        <v>134</v>
      </c>
    </row>
    <row r="35" spans="2:9" x14ac:dyDescent="0.25">
      <c r="B35" s="138" t="s">
        <v>29</v>
      </c>
      <c r="C35" s="138"/>
      <c r="D35" s="137" t="s">
        <v>378</v>
      </c>
      <c r="E35" s="137">
        <v>1</v>
      </c>
      <c r="F35" s="137" t="s">
        <v>134</v>
      </c>
      <c r="G35" s="137" t="s">
        <v>134</v>
      </c>
      <c r="H35" s="137" t="s">
        <v>134</v>
      </c>
      <c r="I35" s="137" t="s">
        <v>134</v>
      </c>
    </row>
    <row r="36" spans="2:9" x14ac:dyDescent="0.25">
      <c r="B36" s="138" t="s">
        <v>87</v>
      </c>
      <c r="C36" s="138"/>
      <c r="D36" s="137" t="s">
        <v>379</v>
      </c>
      <c r="E36" s="137">
        <v>1</v>
      </c>
      <c r="F36" s="137" t="s">
        <v>134</v>
      </c>
      <c r="G36" s="137" t="s">
        <v>134</v>
      </c>
      <c r="H36" s="137" t="s">
        <v>134</v>
      </c>
      <c r="I36" s="137" t="s">
        <v>134</v>
      </c>
    </row>
    <row r="37" spans="2:9" x14ac:dyDescent="0.25">
      <c r="B37" s="138" t="s">
        <v>30</v>
      </c>
      <c r="C37" s="138"/>
      <c r="D37" s="137" t="s">
        <v>380</v>
      </c>
      <c r="E37" s="137">
        <v>1</v>
      </c>
      <c r="F37" s="137" t="s">
        <v>134</v>
      </c>
      <c r="G37" s="137" t="s">
        <v>134</v>
      </c>
      <c r="H37" s="137" t="s">
        <v>134</v>
      </c>
      <c r="I37" s="137" t="s">
        <v>134</v>
      </c>
    </row>
    <row r="38" spans="2:9" x14ac:dyDescent="0.25">
      <c r="B38" s="138" t="s">
        <v>31</v>
      </c>
      <c r="C38" s="138"/>
      <c r="D38" s="137" t="s">
        <v>375</v>
      </c>
      <c r="E38" s="137">
        <v>1</v>
      </c>
      <c r="F38" s="137" t="s">
        <v>134</v>
      </c>
      <c r="G38" s="137" t="s">
        <v>134</v>
      </c>
      <c r="H38" s="137" t="s">
        <v>134</v>
      </c>
      <c r="I38" s="137" t="s">
        <v>134</v>
      </c>
    </row>
    <row r="39" spans="2:9" x14ac:dyDescent="0.25">
      <c r="B39" s="138" t="s">
        <v>32</v>
      </c>
      <c r="C39" s="138"/>
      <c r="D39" s="137" t="s">
        <v>381</v>
      </c>
      <c r="E39" s="137">
        <v>3</v>
      </c>
      <c r="F39" s="137" t="s">
        <v>134</v>
      </c>
      <c r="G39" s="137" t="s">
        <v>134</v>
      </c>
      <c r="H39" s="137" t="s">
        <v>134</v>
      </c>
      <c r="I39" s="137" t="s">
        <v>134</v>
      </c>
    </row>
    <row r="40" spans="2:9" x14ac:dyDescent="0.25">
      <c r="B40" s="138" t="s">
        <v>33</v>
      </c>
      <c r="C40" s="138"/>
      <c r="D40" s="137" t="s">
        <v>381</v>
      </c>
      <c r="E40" s="137">
        <v>3</v>
      </c>
      <c r="F40" s="137" t="s">
        <v>134</v>
      </c>
      <c r="G40" s="137" t="s">
        <v>134</v>
      </c>
      <c r="H40" s="137" t="s">
        <v>134</v>
      </c>
      <c r="I40" s="137" t="s">
        <v>134</v>
      </c>
    </row>
    <row r="41" spans="2:9" x14ac:dyDescent="0.25">
      <c r="B41" s="138" t="s">
        <v>34</v>
      </c>
      <c r="C41" s="138"/>
      <c r="D41" s="137" t="s">
        <v>381</v>
      </c>
      <c r="E41" s="137">
        <v>3</v>
      </c>
      <c r="F41" s="137" t="s">
        <v>134</v>
      </c>
      <c r="G41" s="137" t="s">
        <v>134</v>
      </c>
      <c r="H41" s="137" t="s">
        <v>134</v>
      </c>
      <c r="I41" s="137" t="s">
        <v>134</v>
      </c>
    </row>
    <row r="42" spans="2:9" x14ac:dyDescent="0.25">
      <c r="B42" s="138" t="s">
        <v>35</v>
      </c>
      <c r="C42" s="138"/>
      <c r="D42" s="137" t="s">
        <v>381</v>
      </c>
      <c r="E42" s="137">
        <v>3</v>
      </c>
      <c r="F42" s="137" t="s">
        <v>134</v>
      </c>
      <c r="G42" s="137" t="s">
        <v>134</v>
      </c>
      <c r="H42" s="137" t="s">
        <v>134</v>
      </c>
      <c r="I42" s="137" t="s">
        <v>134</v>
      </c>
    </row>
    <row r="43" spans="2:9" x14ac:dyDescent="0.25">
      <c r="B43" s="138" t="s">
        <v>38</v>
      </c>
      <c r="C43" s="138"/>
      <c r="D43" s="137" t="s">
        <v>386</v>
      </c>
      <c r="E43" s="137">
        <v>1</v>
      </c>
      <c r="F43" s="137" t="s">
        <v>387</v>
      </c>
      <c r="G43" s="137">
        <v>1</v>
      </c>
      <c r="H43" s="137" t="s">
        <v>134</v>
      </c>
      <c r="I43" s="137" t="s">
        <v>134</v>
      </c>
    </row>
    <row r="44" spans="2:9" x14ac:dyDescent="0.25">
      <c r="B44" s="138" t="s">
        <v>37</v>
      </c>
      <c r="C44" s="138"/>
      <c r="D44" s="137" t="s">
        <v>377</v>
      </c>
      <c r="E44" s="137"/>
      <c r="F44" s="137" t="s">
        <v>134</v>
      </c>
      <c r="G44" s="137" t="s">
        <v>134</v>
      </c>
      <c r="H44" s="137" t="s">
        <v>134</v>
      </c>
      <c r="I44" s="137" t="s">
        <v>134</v>
      </c>
    </row>
    <row r="45" spans="2:9" x14ac:dyDescent="0.25">
      <c r="B45" s="138" t="s">
        <v>155</v>
      </c>
      <c r="C45" s="138"/>
      <c r="D45" s="137" t="s">
        <v>388</v>
      </c>
      <c r="E45" s="137">
        <v>1</v>
      </c>
      <c r="F45" s="137" t="s">
        <v>134</v>
      </c>
      <c r="G45" s="137" t="s">
        <v>134</v>
      </c>
      <c r="H45" s="137" t="s">
        <v>134</v>
      </c>
      <c r="I45" s="137" t="s">
        <v>134</v>
      </c>
    </row>
    <row r="46" spans="2:9" x14ac:dyDescent="0.25">
      <c r="B46" s="138" t="s">
        <v>154</v>
      </c>
      <c r="C46" s="138"/>
      <c r="D46" s="137" t="s">
        <v>377</v>
      </c>
      <c r="E46" s="137"/>
      <c r="F46" s="137" t="s">
        <v>134</v>
      </c>
      <c r="G46" s="137" t="s">
        <v>134</v>
      </c>
      <c r="H46" s="137" t="s">
        <v>134</v>
      </c>
      <c r="I46" s="137" t="s">
        <v>134</v>
      </c>
    </row>
    <row r="47" spans="2:9" x14ac:dyDescent="0.25">
      <c r="B47" s="138" t="s">
        <v>257</v>
      </c>
      <c r="C47" s="138"/>
      <c r="D47" s="137" t="s">
        <v>392</v>
      </c>
      <c r="E47" s="137">
        <v>1</v>
      </c>
      <c r="F47" s="137"/>
      <c r="G47" s="137"/>
      <c r="H47" s="137" t="s">
        <v>134</v>
      </c>
      <c r="I47" s="137" t="s">
        <v>134</v>
      </c>
    </row>
    <row r="48" spans="2:9" x14ac:dyDescent="0.25">
      <c r="B48" s="139" t="s">
        <v>256</v>
      </c>
      <c r="C48" s="139"/>
      <c r="D48" s="137" t="s">
        <v>390</v>
      </c>
      <c r="E48" s="137">
        <v>1</v>
      </c>
      <c r="F48" s="137"/>
      <c r="G48" s="137"/>
      <c r="H48" s="137" t="s">
        <v>134</v>
      </c>
      <c r="I48" s="137" t="s">
        <v>134</v>
      </c>
    </row>
    <row r="49" spans="2:9" x14ac:dyDescent="0.25">
      <c r="B49" s="138" t="s">
        <v>308</v>
      </c>
      <c r="C49" s="138"/>
      <c r="D49" s="137" t="s">
        <v>134</v>
      </c>
      <c r="E49" s="137" t="s">
        <v>134</v>
      </c>
      <c r="F49" s="137" t="s">
        <v>134</v>
      </c>
      <c r="G49" s="137" t="s">
        <v>134</v>
      </c>
      <c r="H49" s="137" t="s">
        <v>134</v>
      </c>
      <c r="I49" s="137" t="s">
        <v>134</v>
      </c>
    </row>
    <row r="50" spans="2:9" x14ac:dyDescent="0.25">
      <c r="B50" s="138" t="s">
        <v>307</v>
      </c>
      <c r="C50" s="138"/>
      <c r="D50" s="137" t="s">
        <v>134</v>
      </c>
      <c r="E50" s="137" t="s">
        <v>134</v>
      </c>
      <c r="F50" s="137" t="s">
        <v>134</v>
      </c>
      <c r="G50" s="137" t="s">
        <v>134</v>
      </c>
      <c r="H50" s="137" t="s">
        <v>134</v>
      </c>
      <c r="I50" s="137" t="s">
        <v>134</v>
      </c>
    </row>
    <row r="51" spans="2:9" x14ac:dyDescent="0.25">
      <c r="B51" s="138" t="s">
        <v>309</v>
      </c>
      <c r="C51" s="138"/>
      <c r="D51" s="137" t="s">
        <v>134</v>
      </c>
      <c r="E51" s="137" t="s">
        <v>134</v>
      </c>
      <c r="F51" s="137" t="s">
        <v>134</v>
      </c>
      <c r="G51" s="137" t="s">
        <v>134</v>
      </c>
      <c r="H51" s="137" t="s">
        <v>134</v>
      </c>
      <c r="I51" s="137" t="s">
        <v>134</v>
      </c>
    </row>
    <row r="52" spans="2:9" x14ac:dyDescent="0.25">
      <c r="B52" s="138" t="s">
        <v>310</v>
      </c>
      <c r="C52" s="138"/>
      <c r="D52" s="137" t="s">
        <v>134</v>
      </c>
      <c r="E52" s="137" t="s">
        <v>134</v>
      </c>
      <c r="F52" s="137" t="s">
        <v>134</v>
      </c>
      <c r="G52" s="137" t="s">
        <v>134</v>
      </c>
      <c r="H52" s="137" t="s">
        <v>134</v>
      </c>
      <c r="I52" s="137" t="s">
        <v>134</v>
      </c>
    </row>
    <row r="53" spans="2:9" x14ac:dyDescent="0.25">
      <c r="B53" s="138" t="s">
        <v>291</v>
      </c>
      <c r="C53" s="138"/>
      <c r="D53" s="137" t="s">
        <v>389</v>
      </c>
      <c r="E53" s="137">
        <v>1</v>
      </c>
      <c r="F53" s="137" t="s">
        <v>134</v>
      </c>
      <c r="G53" s="137" t="s">
        <v>134</v>
      </c>
      <c r="H53" s="137" t="s">
        <v>134</v>
      </c>
      <c r="I53" s="137" t="s">
        <v>134</v>
      </c>
    </row>
    <row r="54" spans="2:9" x14ac:dyDescent="0.25">
      <c r="B54" s="138" t="s">
        <v>292</v>
      </c>
      <c r="C54" s="138"/>
      <c r="D54" s="137" t="s">
        <v>389</v>
      </c>
      <c r="E54" s="137">
        <v>1</v>
      </c>
      <c r="F54" s="137" t="s">
        <v>134</v>
      </c>
      <c r="G54" s="137" t="s">
        <v>134</v>
      </c>
      <c r="H54" s="137" t="s">
        <v>134</v>
      </c>
      <c r="I54" s="137" t="s">
        <v>134</v>
      </c>
    </row>
    <row r="55" spans="2:9" x14ac:dyDescent="0.25">
      <c r="B55" s="138" t="s">
        <v>293</v>
      </c>
      <c r="C55" s="138"/>
      <c r="D55" s="137" t="s">
        <v>389</v>
      </c>
      <c r="E55" s="137">
        <v>1</v>
      </c>
      <c r="F55" s="137" t="s">
        <v>134</v>
      </c>
      <c r="G55" s="137" t="s">
        <v>134</v>
      </c>
      <c r="H55" s="137" t="s">
        <v>134</v>
      </c>
      <c r="I55" s="137" t="s">
        <v>134</v>
      </c>
    </row>
    <row r="56" spans="2:9" x14ac:dyDescent="0.25">
      <c r="B56" s="138" t="s">
        <v>294</v>
      </c>
      <c r="C56" s="138"/>
      <c r="D56" s="137" t="s">
        <v>389</v>
      </c>
      <c r="E56" s="137">
        <v>1</v>
      </c>
      <c r="F56" s="137" t="s">
        <v>134</v>
      </c>
      <c r="G56" s="137" t="s">
        <v>134</v>
      </c>
      <c r="H56" s="137" t="s">
        <v>134</v>
      </c>
      <c r="I56" s="137" t="s">
        <v>134</v>
      </c>
    </row>
    <row r="57" spans="2:9" x14ac:dyDescent="0.25">
      <c r="B57" s="138" t="s">
        <v>295</v>
      </c>
      <c r="C57" s="138"/>
      <c r="D57" s="137" t="s">
        <v>390</v>
      </c>
      <c r="E57" s="137">
        <v>1</v>
      </c>
      <c r="F57" s="137" t="s">
        <v>134</v>
      </c>
      <c r="G57" s="137" t="s">
        <v>134</v>
      </c>
      <c r="H57" s="137" t="s">
        <v>134</v>
      </c>
      <c r="I57" s="137" t="s">
        <v>134</v>
      </c>
    </row>
    <row r="58" spans="2:9" x14ac:dyDescent="0.25">
      <c r="B58" s="138" t="s">
        <v>272</v>
      </c>
      <c r="C58" s="138"/>
      <c r="D58" s="137" t="s">
        <v>389</v>
      </c>
      <c r="E58" s="137">
        <v>1</v>
      </c>
      <c r="F58" s="137" t="s">
        <v>134</v>
      </c>
      <c r="G58" s="137" t="s">
        <v>134</v>
      </c>
      <c r="H58" s="137" t="s">
        <v>134</v>
      </c>
      <c r="I58" s="137" t="s">
        <v>134</v>
      </c>
    </row>
    <row r="59" spans="2:9" x14ac:dyDescent="0.25">
      <c r="B59" s="138" t="s">
        <v>273</v>
      </c>
      <c r="C59" s="138"/>
      <c r="D59" s="137" t="s">
        <v>389</v>
      </c>
      <c r="E59" s="137">
        <v>1</v>
      </c>
      <c r="F59" s="137" t="s">
        <v>134</v>
      </c>
      <c r="G59" s="137" t="s">
        <v>134</v>
      </c>
      <c r="H59" s="137" t="s">
        <v>134</v>
      </c>
      <c r="I59" s="137" t="s">
        <v>134</v>
      </c>
    </row>
    <row r="60" spans="2:9" x14ac:dyDescent="0.25">
      <c r="B60" s="138" t="s">
        <v>276</v>
      </c>
      <c r="C60" s="138"/>
      <c r="D60" s="137" t="s">
        <v>389</v>
      </c>
      <c r="E60" s="137">
        <v>1</v>
      </c>
      <c r="F60" s="137" t="s">
        <v>134</v>
      </c>
      <c r="G60" s="137" t="s">
        <v>134</v>
      </c>
      <c r="H60" s="137" t="s">
        <v>134</v>
      </c>
      <c r="I60" s="137" t="s">
        <v>134</v>
      </c>
    </row>
    <row r="61" spans="2:9" x14ac:dyDescent="0.25">
      <c r="B61" s="138" t="s">
        <v>312</v>
      </c>
      <c r="C61" s="138"/>
      <c r="D61" s="137" t="s">
        <v>389</v>
      </c>
      <c r="E61" s="137">
        <v>1</v>
      </c>
      <c r="F61" s="137" t="s">
        <v>134</v>
      </c>
      <c r="G61" s="137" t="s">
        <v>134</v>
      </c>
      <c r="H61" s="137" t="s">
        <v>134</v>
      </c>
      <c r="I61" s="137" t="s">
        <v>134</v>
      </c>
    </row>
    <row r="62" spans="2:9" x14ac:dyDescent="0.25">
      <c r="B62" s="138" t="s">
        <v>313</v>
      </c>
      <c r="C62" s="138"/>
      <c r="D62" s="137" t="s">
        <v>389</v>
      </c>
      <c r="E62" s="137">
        <v>1</v>
      </c>
      <c r="F62" s="137" t="s">
        <v>134</v>
      </c>
      <c r="G62" s="137" t="s">
        <v>134</v>
      </c>
      <c r="H62" s="137" t="s">
        <v>134</v>
      </c>
      <c r="I62" s="137" t="s">
        <v>134</v>
      </c>
    </row>
    <row r="63" spans="2:9" x14ac:dyDescent="0.25">
      <c r="B63" s="138" t="s">
        <v>31</v>
      </c>
      <c r="C63" s="138"/>
      <c r="D63" s="137" t="s">
        <v>391</v>
      </c>
      <c r="E63" s="137">
        <v>1</v>
      </c>
      <c r="F63" s="137" t="s">
        <v>134</v>
      </c>
      <c r="G63" s="137" t="s">
        <v>134</v>
      </c>
      <c r="H63" s="137" t="s">
        <v>134</v>
      </c>
      <c r="I63" s="137" t="s">
        <v>134</v>
      </c>
    </row>
    <row r="64" spans="2:9" x14ac:dyDescent="0.25">
      <c r="B64" s="138" t="s">
        <v>314</v>
      </c>
      <c r="C64" s="138"/>
      <c r="D64" s="137" t="s">
        <v>393</v>
      </c>
      <c r="E64" s="137">
        <v>6</v>
      </c>
      <c r="F64" s="137" t="s">
        <v>134</v>
      </c>
      <c r="G64" s="137" t="s">
        <v>134</v>
      </c>
      <c r="H64" s="137" t="s">
        <v>134</v>
      </c>
      <c r="I64" s="137" t="s">
        <v>134</v>
      </c>
    </row>
    <row r="65" spans="2:9" x14ac:dyDescent="0.25">
      <c r="B65" s="138" t="s">
        <v>315</v>
      </c>
      <c r="C65" s="138"/>
      <c r="D65" s="137" t="s">
        <v>393</v>
      </c>
      <c r="E65" s="137">
        <v>1</v>
      </c>
      <c r="F65" s="137" t="s">
        <v>134</v>
      </c>
      <c r="G65" s="137" t="s">
        <v>134</v>
      </c>
      <c r="H65" s="137" t="s">
        <v>134</v>
      </c>
      <c r="I65" s="137" t="s">
        <v>134</v>
      </c>
    </row>
    <row r="66" spans="2:9" x14ac:dyDescent="0.25">
      <c r="B66" s="138" t="s">
        <v>316</v>
      </c>
      <c r="C66" s="138"/>
      <c r="D66" s="137" t="s">
        <v>393</v>
      </c>
      <c r="E66" s="137">
        <v>4</v>
      </c>
      <c r="F66" s="137" t="s">
        <v>134</v>
      </c>
      <c r="G66" s="137" t="s">
        <v>134</v>
      </c>
      <c r="H66" s="137" t="s">
        <v>134</v>
      </c>
      <c r="I66" s="137" t="s">
        <v>134</v>
      </c>
    </row>
    <row r="67" spans="2:9" x14ac:dyDescent="0.25">
      <c r="B67" s="138" t="s">
        <v>317</v>
      </c>
      <c r="C67" s="138"/>
      <c r="D67" s="137" t="s">
        <v>374</v>
      </c>
      <c r="E67" s="137">
        <v>1</v>
      </c>
      <c r="F67" s="137" t="s">
        <v>134</v>
      </c>
      <c r="G67" s="137" t="s">
        <v>134</v>
      </c>
      <c r="H67" s="137" t="s">
        <v>134</v>
      </c>
      <c r="I67" s="137" t="s">
        <v>134</v>
      </c>
    </row>
    <row r="68" spans="2:9" x14ac:dyDescent="0.25">
      <c r="B68" s="138" t="s">
        <v>322</v>
      </c>
      <c r="C68" s="138"/>
      <c r="D68" s="137" t="s">
        <v>394</v>
      </c>
      <c r="E68" s="137">
        <v>4</v>
      </c>
      <c r="F68" s="137" t="s">
        <v>395</v>
      </c>
      <c r="G68" s="137">
        <v>4</v>
      </c>
      <c r="H68" s="137" t="s">
        <v>376</v>
      </c>
      <c r="I68" s="137">
        <v>1</v>
      </c>
    </row>
    <row r="69" spans="2:9" x14ac:dyDescent="0.25">
      <c r="B69" s="138" t="s">
        <v>329</v>
      </c>
      <c r="C69" s="138"/>
      <c r="D69" s="137" t="s">
        <v>395</v>
      </c>
      <c r="E69" s="137">
        <v>3</v>
      </c>
      <c r="F69" s="137" t="s">
        <v>134</v>
      </c>
      <c r="G69" s="137" t="s">
        <v>134</v>
      </c>
      <c r="H69" s="137" t="s">
        <v>134</v>
      </c>
      <c r="I69" s="137" t="s">
        <v>134</v>
      </c>
    </row>
    <row r="70" spans="2:9" x14ac:dyDescent="0.25">
      <c r="B70" s="138" t="s">
        <v>300</v>
      </c>
      <c r="C70" s="138"/>
      <c r="D70" s="137" t="s">
        <v>389</v>
      </c>
      <c r="E70" s="137">
        <v>3</v>
      </c>
      <c r="F70" s="137" t="s">
        <v>380</v>
      </c>
      <c r="G70" s="1">
        <v>3</v>
      </c>
      <c r="H70" s="137" t="s">
        <v>134</v>
      </c>
      <c r="I70" s="137" t="s">
        <v>134</v>
      </c>
    </row>
    <row r="71" spans="2:9" x14ac:dyDescent="0.25">
      <c r="B71" s="138" t="s">
        <v>301</v>
      </c>
      <c r="C71" s="138"/>
      <c r="D71" s="137" t="s">
        <v>389</v>
      </c>
      <c r="E71" s="137">
        <v>3</v>
      </c>
      <c r="F71" s="137" t="s">
        <v>380</v>
      </c>
      <c r="G71" s="1">
        <v>3</v>
      </c>
      <c r="H71" s="137" t="s">
        <v>134</v>
      </c>
      <c r="I71" s="137" t="s">
        <v>134</v>
      </c>
    </row>
    <row r="72" spans="2:9" x14ac:dyDescent="0.25">
      <c r="B72" s="138" t="s">
        <v>271</v>
      </c>
      <c r="C72" s="138"/>
      <c r="D72" s="137" t="s">
        <v>377</v>
      </c>
      <c r="E72" s="4"/>
      <c r="F72" s="4"/>
      <c r="G72" s="4"/>
      <c r="H72" s="137" t="s">
        <v>134</v>
      </c>
      <c r="I72" s="137" t="s">
        <v>134</v>
      </c>
    </row>
    <row r="73" spans="2:9" x14ac:dyDescent="0.25">
      <c r="E73">
        <f>SUM(E63:E69,E45,E34:E43,E3:E32)</f>
        <v>89</v>
      </c>
      <c r="G73">
        <f>SUM(G3:G72)</f>
        <v>33</v>
      </c>
    </row>
    <row r="74" spans="2:9" x14ac:dyDescent="0.25">
      <c r="F74">
        <f>E73+G73</f>
        <v>122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>
      <selection activeCell="D15" sqref="D15"/>
    </sheetView>
  </sheetViews>
  <sheetFormatPr baseColWidth="10" defaultRowHeight="15" x14ac:dyDescent="0.25"/>
  <cols>
    <col min="2" max="2" width="12.28515625" bestFit="1" customWidth="1"/>
    <col min="3" max="3" width="19.7109375" bestFit="1" customWidth="1"/>
    <col min="4" max="4" width="19.42578125" bestFit="1" customWidth="1"/>
    <col min="5" max="5" width="30.7109375" bestFit="1" customWidth="1"/>
    <col min="6" max="6" width="20.42578125" bestFit="1" customWidth="1"/>
    <col min="7" max="7" width="15" bestFit="1" customWidth="1"/>
    <col min="8" max="8" width="21.5703125" bestFit="1" customWidth="1"/>
  </cols>
  <sheetData>
    <row r="2" spans="2:8" x14ac:dyDescent="0.25">
      <c r="B2" s="4" t="s">
        <v>158</v>
      </c>
      <c r="C2" s="79">
        <v>50</v>
      </c>
    </row>
    <row r="3" spans="2:8" x14ac:dyDescent="0.25">
      <c r="B3" s="4" t="s">
        <v>159</v>
      </c>
      <c r="C3" s="79">
        <v>30</v>
      </c>
    </row>
    <row r="4" spans="2:8" x14ac:dyDescent="0.25">
      <c r="B4" s="4" t="s">
        <v>160</v>
      </c>
      <c r="C4" s="79">
        <v>18</v>
      </c>
    </row>
    <row r="5" spans="2:8" x14ac:dyDescent="0.25">
      <c r="B5" s="4" t="s">
        <v>161</v>
      </c>
      <c r="C5" s="8">
        <f>((C2-C3)/LN((C2-C4)/(C3-C4)))</f>
        <v>20.390908956465324</v>
      </c>
    </row>
    <row r="7" spans="2:8" x14ac:dyDescent="0.25">
      <c r="B7" s="77" t="s">
        <v>162</v>
      </c>
      <c r="C7" s="77" t="s">
        <v>168</v>
      </c>
      <c r="D7" s="77" t="s">
        <v>167</v>
      </c>
      <c r="E7" s="77" t="s">
        <v>166</v>
      </c>
      <c r="F7" s="79" t="s">
        <v>163</v>
      </c>
      <c r="G7" s="4" t="s">
        <v>165</v>
      </c>
      <c r="H7" s="79" t="s">
        <v>164</v>
      </c>
    </row>
    <row r="8" spans="2:8" x14ac:dyDescent="0.25">
      <c r="B8" s="37" t="s">
        <v>27</v>
      </c>
      <c r="C8" s="8">
        <f>'INFORME GENERAL'!G35</f>
        <v>1792.0033453163592</v>
      </c>
      <c r="D8" s="8">
        <f>'VENTILACION SUPER-PERS'!D34</f>
        <v>30.946300000000001</v>
      </c>
      <c r="E8" s="8">
        <f>C8/D8</f>
        <v>57.906869167440341</v>
      </c>
      <c r="F8" s="77">
        <v>25</v>
      </c>
      <c r="G8" s="79">
        <v>1</v>
      </c>
      <c r="H8" s="79"/>
    </row>
    <row r="9" spans="2:8" x14ac:dyDescent="0.25">
      <c r="B9" s="37" t="s">
        <v>37</v>
      </c>
      <c r="C9" s="8">
        <f>'INFORME GENERAL'!G46</f>
        <v>19200.89252975519</v>
      </c>
      <c r="D9" s="8">
        <f>'VENTILACION SUPER-PERS'!D45</f>
        <v>350.73739999999998</v>
      </c>
      <c r="E9" s="8">
        <f>C9/D9</f>
        <v>54.744354408042007</v>
      </c>
      <c r="F9" s="77">
        <v>30</v>
      </c>
      <c r="G9" s="79">
        <v>3</v>
      </c>
      <c r="H9" s="79"/>
    </row>
    <row r="10" spans="2:8" x14ac:dyDescent="0.25">
      <c r="B10" s="37" t="s">
        <v>154</v>
      </c>
      <c r="C10" s="8">
        <f>'INFORME GENERAL'!G48</f>
        <v>2122.9644292810885</v>
      </c>
      <c r="D10" s="8">
        <f>'VENTILACION SUPER-PERS'!D48</f>
        <v>37.1</v>
      </c>
      <c r="E10" s="8">
        <f>C10/D10</f>
        <v>57.222760897064376</v>
      </c>
      <c r="F10" s="77">
        <v>30</v>
      </c>
      <c r="G10" s="79">
        <v>1</v>
      </c>
      <c r="H10" s="79"/>
    </row>
    <row r="11" spans="2:8" x14ac:dyDescent="0.25">
      <c r="B11" s="79" t="s">
        <v>169</v>
      </c>
      <c r="C11" s="79"/>
      <c r="D11" s="79">
        <v>128</v>
      </c>
      <c r="E11" s="8">
        <f>C11/D11</f>
        <v>0</v>
      </c>
      <c r="F11" s="79">
        <v>30</v>
      </c>
      <c r="G11" s="79">
        <v>3</v>
      </c>
      <c r="H11" s="7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D16" sqref="D16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57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43" t="s">
        <v>40</v>
      </c>
      <c r="C5" s="43" t="s">
        <v>102</v>
      </c>
      <c r="D5" s="43" t="s">
        <v>106</v>
      </c>
      <c r="E5" s="43" t="s">
        <v>105</v>
      </c>
      <c r="F5" s="43" t="s">
        <v>104</v>
      </c>
      <c r="G5" s="43" t="s">
        <v>103</v>
      </c>
    </row>
    <row r="6" spans="2:7" x14ac:dyDescent="0.25">
      <c r="B6" s="43" t="s">
        <v>43</v>
      </c>
      <c r="C6" s="20">
        <f>7.6*3</f>
        <v>22.799999999999997</v>
      </c>
      <c r="D6" s="43">
        <v>0.7</v>
      </c>
      <c r="E6" s="13">
        <f>'INFORMACION INICIAL'!C4</f>
        <v>10</v>
      </c>
      <c r="F6" s="43">
        <f>'INFORMACION INICIAL'!C6</f>
        <v>21</v>
      </c>
      <c r="G6" s="13">
        <f t="shared" ref="G6:G12" si="0">C6*D6*(F6-E6)</f>
        <v>175.55999999999997</v>
      </c>
    </row>
    <row r="7" spans="2:7" x14ac:dyDescent="0.25">
      <c r="B7" s="43" t="s">
        <v>44</v>
      </c>
      <c r="C7" s="20">
        <f>7.6*3</f>
        <v>22.799999999999997</v>
      </c>
      <c r="D7" s="43">
        <v>0.7</v>
      </c>
      <c r="E7" s="13">
        <f>'INFORMACION INICIAL'!C4</f>
        <v>10</v>
      </c>
      <c r="F7" s="43">
        <f>'INFORMACION INICIAL'!C6</f>
        <v>21</v>
      </c>
      <c r="G7" s="13">
        <f t="shared" si="0"/>
        <v>175.55999999999997</v>
      </c>
    </row>
    <row r="8" spans="2:7" x14ac:dyDescent="0.25">
      <c r="B8" s="43" t="s">
        <v>45</v>
      </c>
      <c r="C8" s="20">
        <f>7*3-4*2</f>
        <v>13</v>
      </c>
      <c r="D8" s="43">
        <v>0.7</v>
      </c>
      <c r="E8" s="13">
        <f>'INFORMACION INICIAL'!C4</f>
        <v>10</v>
      </c>
      <c r="F8" s="43">
        <f>'INFORMACION INICIAL'!C6</f>
        <v>21</v>
      </c>
      <c r="G8" s="13">
        <f t="shared" si="0"/>
        <v>100.1</v>
      </c>
    </row>
    <row r="9" spans="2:7" x14ac:dyDescent="0.25">
      <c r="B9" s="43" t="s">
        <v>46</v>
      </c>
      <c r="C9" s="20">
        <f>7*3-4.3*2</f>
        <v>12.4</v>
      </c>
      <c r="D9" s="43">
        <v>0.7</v>
      </c>
      <c r="E9" s="13">
        <f>'INFORMACION INICIAL'!C3</f>
        <v>-1.8</v>
      </c>
      <c r="F9" s="43">
        <f>'INFORMACION INICIAL'!C6</f>
        <v>21</v>
      </c>
      <c r="G9" s="13">
        <f t="shared" si="0"/>
        <v>197.904</v>
      </c>
    </row>
    <row r="10" spans="2:7" x14ac:dyDescent="0.25">
      <c r="B10" s="43" t="s">
        <v>49</v>
      </c>
      <c r="C10" s="20">
        <f>(4+4.3)*2</f>
        <v>16.600000000000001</v>
      </c>
      <c r="D10" s="43">
        <v>1.9</v>
      </c>
      <c r="E10" s="13">
        <f>'INFORMACION INICIAL'!C3</f>
        <v>-1.8</v>
      </c>
      <c r="F10" s="43">
        <f>'INFORMACION INICIAL'!C6</f>
        <v>21</v>
      </c>
      <c r="G10" s="13">
        <f t="shared" si="0"/>
        <v>719.11200000000008</v>
      </c>
    </row>
    <row r="11" spans="2:7" x14ac:dyDescent="0.25">
      <c r="B11" s="43" t="s">
        <v>47</v>
      </c>
      <c r="C11" s="20">
        <f>'VENTILACION SUPER-PERS'!D3</f>
        <v>46.732500000000002</v>
      </c>
      <c r="D11" s="43">
        <v>0.33</v>
      </c>
      <c r="E11" s="13">
        <f>'INFORMACION INICIAL'!C3</f>
        <v>-1.8</v>
      </c>
      <c r="F11" s="43">
        <f>'INFORMACION INICIAL'!C6</f>
        <v>21</v>
      </c>
      <c r="G11" s="13">
        <f t="shared" si="0"/>
        <v>351.61533000000009</v>
      </c>
    </row>
    <row r="12" spans="2:7" x14ac:dyDescent="0.25">
      <c r="B12" s="43" t="s">
        <v>48</v>
      </c>
      <c r="C12" s="20">
        <f>'VENTILACION SUPER-PERS'!D4</f>
        <v>46.732500000000002</v>
      </c>
      <c r="D12" s="43">
        <v>0.33</v>
      </c>
      <c r="E12" s="13">
        <f>'INFORMACION INICIAL'!C5</f>
        <v>0</v>
      </c>
      <c r="F12" s="43">
        <f>'INFORMACION INICIAL'!C6</f>
        <v>21</v>
      </c>
      <c r="G12" s="13">
        <f t="shared" si="0"/>
        <v>323.85622500000005</v>
      </c>
    </row>
    <row r="13" spans="2:7" x14ac:dyDescent="0.25">
      <c r="B13" s="1"/>
      <c r="C13" s="1"/>
      <c r="D13" s="1"/>
      <c r="E13" s="1"/>
      <c r="F13" s="10" t="s">
        <v>59</v>
      </c>
      <c r="G13" s="8">
        <f>SUM(G6:G12)</f>
        <v>2043.707555</v>
      </c>
    </row>
    <row r="14" spans="2:7" x14ac:dyDescent="0.25">
      <c r="B14" s="1" t="s">
        <v>41</v>
      </c>
      <c r="C14" s="1"/>
      <c r="D14" s="1"/>
      <c r="E14" s="1"/>
      <c r="F14" s="1"/>
      <c r="G14" s="1"/>
    </row>
    <row r="15" spans="2:7" x14ac:dyDescent="0.25">
      <c r="B15" s="43" t="s">
        <v>100</v>
      </c>
      <c r="C15" s="43" t="s">
        <v>101</v>
      </c>
      <c r="D15" s="43" t="s">
        <v>105</v>
      </c>
      <c r="E15" s="43" t="s">
        <v>104</v>
      </c>
      <c r="F15" s="43" t="s">
        <v>103</v>
      </c>
      <c r="G15" s="1"/>
    </row>
    <row r="16" spans="2:7" x14ac:dyDescent="0.25">
      <c r="B16" s="43">
        <f>'INFORMACION INICIAL'!C10</f>
        <v>0.5</v>
      </c>
      <c r="C16" s="49">
        <f>C12*3</f>
        <v>140.19749999999999</v>
      </c>
      <c r="D16" s="13">
        <f>'INFORMACION INICIAL'!C3</f>
        <v>-1.8</v>
      </c>
      <c r="E16" s="43">
        <f>'INFORMACION INICIAL'!C6</f>
        <v>21</v>
      </c>
      <c r="F16" s="8">
        <f>B16*C16*(E16-D16)*'INFORMACION INICIAL'!C8*'INFORMACION INICIAL'!C7/3.6</f>
        <v>569.59527711874523</v>
      </c>
      <c r="G16" s="1"/>
    </row>
    <row r="17" spans="2:7" x14ac:dyDescent="0.25">
      <c r="B17" s="1"/>
      <c r="C17" s="1"/>
      <c r="D17" s="1"/>
      <c r="E17" s="1"/>
      <c r="F17" s="1"/>
      <c r="G17" s="1"/>
    </row>
    <row r="18" spans="2:7" x14ac:dyDescent="0.25">
      <c r="B18" s="1" t="s">
        <v>42</v>
      </c>
      <c r="C18" s="1"/>
      <c r="D18" s="1"/>
      <c r="E18" s="1"/>
      <c r="F18" s="1"/>
      <c r="G18" s="1"/>
    </row>
    <row r="19" spans="2:7" x14ac:dyDescent="0.25">
      <c r="B19" s="43" t="s">
        <v>107</v>
      </c>
      <c r="C19" s="43" t="s">
        <v>105</v>
      </c>
      <c r="D19" s="43" t="s">
        <v>104</v>
      </c>
      <c r="E19" s="43" t="s">
        <v>103</v>
      </c>
      <c r="F19" s="1"/>
      <c r="G19" s="1"/>
    </row>
    <row r="20" spans="2:7" x14ac:dyDescent="0.25">
      <c r="B20" s="13">
        <f>'VENTILACION SUPER-PERS'!H3*3.6</f>
        <v>549.26662499999998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4463.1277373555577</v>
      </c>
      <c r="F20" s="1"/>
      <c r="G20" s="1"/>
    </row>
  </sheetData>
  <mergeCells count="1">
    <mergeCell ref="B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C20" sqref="C20"/>
    </sheetView>
  </sheetViews>
  <sheetFormatPr baseColWidth="10" defaultRowHeight="15" x14ac:dyDescent="0.25"/>
  <cols>
    <col min="2" max="2" width="30.5703125" bestFit="1" customWidth="1"/>
    <col min="3" max="3" width="20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63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8">
        <f>7.6*3</f>
        <v>22.799999999999997</v>
      </c>
      <c r="D6" s="2">
        <v>0.7</v>
      </c>
      <c r="E6" s="13">
        <f>'INFORMACION INICIAL'!C4</f>
        <v>10</v>
      </c>
      <c r="F6" s="43">
        <f>'INFORMACION INICIAL'!C6</f>
        <v>21</v>
      </c>
      <c r="G6" s="13">
        <f t="shared" ref="G6:G12" si="0">C6*D6*(F6-E6)</f>
        <v>175.55999999999997</v>
      </c>
    </row>
    <row r="7" spans="2:7" x14ac:dyDescent="0.25">
      <c r="B7" s="32" t="s">
        <v>44</v>
      </c>
      <c r="C7" s="8">
        <f>C6</f>
        <v>22.799999999999997</v>
      </c>
      <c r="D7" s="2">
        <v>0.7</v>
      </c>
      <c r="E7" s="13">
        <f>'INFORMACION INICIAL'!C4</f>
        <v>10</v>
      </c>
      <c r="F7" s="43">
        <f>'INFORMACION INICIAL'!C6</f>
        <v>21</v>
      </c>
      <c r="G7" s="13">
        <f t="shared" si="0"/>
        <v>175.55999999999997</v>
      </c>
    </row>
    <row r="8" spans="2:7" x14ac:dyDescent="0.25">
      <c r="B8" s="32" t="s">
        <v>45</v>
      </c>
      <c r="C8" s="8">
        <f>3*7.2-2*4</f>
        <v>13.600000000000001</v>
      </c>
      <c r="D8" s="2">
        <v>0.7</v>
      </c>
      <c r="E8" s="13">
        <f>'INFORMACION INICIAL'!C3</f>
        <v>-1.8</v>
      </c>
      <c r="F8" s="43">
        <f>'INFORMACION INICIAL'!C6</f>
        <v>21</v>
      </c>
      <c r="G8" s="13">
        <f t="shared" si="0"/>
        <v>217.05599999999998</v>
      </c>
    </row>
    <row r="9" spans="2:7" x14ac:dyDescent="0.25">
      <c r="B9" s="32" t="s">
        <v>46</v>
      </c>
      <c r="C9" s="8">
        <f>3*7.2-2*4.3</f>
        <v>13.000000000000002</v>
      </c>
      <c r="D9" s="2">
        <v>0.7</v>
      </c>
      <c r="E9" s="13">
        <f>'INFORMACION INICIAL'!C3</f>
        <v>-1.8</v>
      </c>
      <c r="F9" s="43">
        <f>'INFORMACION INICIAL'!C6</f>
        <v>21</v>
      </c>
      <c r="G9" s="13">
        <f t="shared" si="0"/>
        <v>207.48000000000005</v>
      </c>
    </row>
    <row r="10" spans="2:7" x14ac:dyDescent="0.25">
      <c r="B10" s="32" t="s">
        <v>49</v>
      </c>
      <c r="C10" s="8">
        <f>2*(4+4.3)</f>
        <v>16.600000000000001</v>
      </c>
      <c r="D10" s="2">
        <v>1.9</v>
      </c>
      <c r="E10" s="13">
        <f>'INFORMACION INICIAL'!C3</f>
        <v>-1.8</v>
      </c>
      <c r="F10" s="43">
        <f>'INFORMACION INICIAL'!C6</f>
        <v>21</v>
      </c>
      <c r="G10" s="13">
        <f t="shared" si="0"/>
        <v>719.11200000000008</v>
      </c>
    </row>
    <row r="11" spans="2:7" x14ac:dyDescent="0.25">
      <c r="B11" s="32" t="s">
        <v>47</v>
      </c>
      <c r="C11" s="8">
        <f>C12</f>
        <v>47.163800000000002</v>
      </c>
      <c r="D11" s="2">
        <v>0.33</v>
      </c>
      <c r="E11" s="13">
        <f>'INFORMACION INICIAL'!C3</f>
        <v>-1.8</v>
      </c>
      <c r="F11" s="43">
        <f>'INFORMACION INICIAL'!C6</f>
        <v>21</v>
      </c>
      <c r="G11" s="13">
        <f t="shared" si="0"/>
        <v>354.86043120000005</v>
      </c>
    </row>
    <row r="12" spans="2:7" x14ac:dyDescent="0.25">
      <c r="B12" s="32" t="s">
        <v>48</v>
      </c>
      <c r="C12" s="8">
        <f>'VENTILACION SUPER-PERS'!D7</f>
        <v>47.163800000000002</v>
      </c>
      <c r="D12" s="2">
        <v>0.33</v>
      </c>
      <c r="E12" s="13">
        <f>'INFORMACION INICIAL'!C5</f>
        <v>0</v>
      </c>
      <c r="F12" s="43">
        <f>'INFORMACION INICIAL'!C6</f>
        <v>21</v>
      </c>
      <c r="G12" s="13">
        <f t="shared" si="0"/>
        <v>326.84513400000003</v>
      </c>
    </row>
    <row r="13" spans="2:7" x14ac:dyDescent="0.25">
      <c r="B13" s="22"/>
      <c r="C13" s="23"/>
      <c r="D13" s="23"/>
      <c r="E13" s="23"/>
      <c r="F13" s="2" t="s">
        <v>59</v>
      </c>
      <c r="G13" s="15">
        <f>SUM(G6:G12)</f>
        <v>2176.4735651999999</v>
      </c>
    </row>
    <row r="14" spans="2:7" x14ac:dyDescent="0.25">
      <c r="B14" t="s">
        <v>41</v>
      </c>
      <c r="C14" s="1"/>
      <c r="D14" s="1"/>
      <c r="E14" s="1"/>
      <c r="F14" s="1"/>
      <c r="G14" s="1"/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  <c r="G15" s="1"/>
    </row>
    <row r="16" spans="2:7" x14ac:dyDescent="0.25">
      <c r="B16" s="2">
        <f>'INFORMACION INICIAL'!C10</f>
        <v>0.5</v>
      </c>
      <c r="C16" s="8">
        <f>C11*3</f>
        <v>141.4914</v>
      </c>
      <c r="D16" s="13">
        <f>'INFORMACION INICIAL'!C3</f>
        <v>-1.8</v>
      </c>
      <c r="E16" s="43">
        <f>'INFORMACION INICIAL'!C6</f>
        <v>21</v>
      </c>
      <c r="F16" s="8">
        <f>B16*C16*'INFORMACION INICIAL'!C7*'INFORMACION INICIAL'!C8*(E16-D16)/3.6</f>
        <v>574.85214210609479</v>
      </c>
      <c r="G16" s="1"/>
    </row>
    <row r="17" spans="2:7" x14ac:dyDescent="0.25">
      <c r="C17" s="1"/>
      <c r="D17" s="1"/>
      <c r="E17" s="1"/>
      <c r="F17" s="1"/>
      <c r="G17" s="1"/>
    </row>
    <row r="18" spans="2:7" x14ac:dyDescent="0.25">
      <c r="B18" t="s">
        <v>42</v>
      </c>
      <c r="C18" s="1"/>
      <c r="D18" s="1"/>
      <c r="E18" s="1"/>
      <c r="F18" s="1"/>
      <c r="G18" s="1"/>
    </row>
    <row r="19" spans="2:7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7" x14ac:dyDescent="0.25">
      <c r="B20" s="8">
        <f>3.6*'VENTILACION SUPER-PERS'!H7</f>
        <v>551.01338999999996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4477.3212728214021</v>
      </c>
    </row>
  </sheetData>
  <mergeCells count="1">
    <mergeCell ref="B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F19" sqref="F19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64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8">
        <f>7.45*3</f>
        <v>22.35</v>
      </c>
      <c r="D6" s="2">
        <v>0.7</v>
      </c>
      <c r="E6" s="13">
        <f>'INFORMACION INICIAL'!C3</f>
        <v>-1.8</v>
      </c>
      <c r="F6" s="43">
        <f>'INFORMACION INICIAL'!C6</f>
        <v>21</v>
      </c>
      <c r="G6" s="13">
        <f t="shared" ref="G6:G12" si="0">C6*D6*(F6-E6)</f>
        <v>356.70600000000002</v>
      </c>
    </row>
    <row r="7" spans="2:7" x14ac:dyDescent="0.25">
      <c r="B7" s="32" t="s">
        <v>44</v>
      </c>
      <c r="C7" s="8">
        <f>C6</f>
        <v>22.35</v>
      </c>
      <c r="D7" s="2">
        <v>0.7</v>
      </c>
      <c r="E7" s="13">
        <f>'INFORMACION INICIAL'!C4</f>
        <v>10</v>
      </c>
      <c r="F7" s="43">
        <f>'INFORMACION INICIAL'!C6</f>
        <v>21</v>
      </c>
      <c r="G7" s="13">
        <f t="shared" si="0"/>
        <v>172.095</v>
      </c>
    </row>
    <row r="8" spans="2:7" x14ac:dyDescent="0.25">
      <c r="B8" s="32" t="s">
        <v>45</v>
      </c>
      <c r="C8" s="8">
        <f>7.25*3-2*4.3</f>
        <v>13.15</v>
      </c>
      <c r="D8" s="2">
        <v>0.7</v>
      </c>
      <c r="E8" s="13">
        <f>'INFORMACION INICIAL'!C3</f>
        <v>-1.8</v>
      </c>
      <c r="F8" s="43">
        <f>'INFORMACION INICIAL'!C6</f>
        <v>21</v>
      </c>
      <c r="G8" s="13">
        <f t="shared" si="0"/>
        <v>209.874</v>
      </c>
    </row>
    <row r="9" spans="2:7" x14ac:dyDescent="0.25">
      <c r="B9" s="32" t="s">
        <v>46</v>
      </c>
      <c r="C9" s="8">
        <f>7.25*3-2*4</f>
        <v>13.75</v>
      </c>
      <c r="D9" s="2">
        <v>0.7</v>
      </c>
      <c r="E9" s="13">
        <f>'INFORMACION INICIAL'!C3</f>
        <v>-1.8</v>
      </c>
      <c r="F9" s="43">
        <f>'INFORMACION INICIAL'!C6</f>
        <v>21</v>
      </c>
      <c r="G9" s="13">
        <f t="shared" si="0"/>
        <v>219.45000000000002</v>
      </c>
    </row>
    <row r="10" spans="2:7" x14ac:dyDescent="0.25">
      <c r="B10" s="32" t="s">
        <v>49</v>
      </c>
      <c r="C10" s="8">
        <f>2*(4+4.3)</f>
        <v>16.600000000000001</v>
      </c>
      <c r="D10" s="2">
        <v>1.9</v>
      </c>
      <c r="E10" s="13">
        <f>'INFORMACION INICIAL'!C3</f>
        <v>-1.8</v>
      </c>
      <c r="F10" s="43">
        <f>'INFORMACION INICIAL'!C6</f>
        <v>21</v>
      </c>
      <c r="G10" s="13">
        <f t="shared" si="0"/>
        <v>719.11200000000008</v>
      </c>
    </row>
    <row r="11" spans="2:7" x14ac:dyDescent="0.25">
      <c r="B11" s="32" t="s">
        <v>47</v>
      </c>
      <c r="C11" s="8">
        <f>C12</f>
        <v>46.732500000000002</v>
      </c>
      <c r="D11" s="2">
        <v>0.33</v>
      </c>
      <c r="E11" s="13">
        <f>'INFORMACION INICIAL'!C3</f>
        <v>-1.8</v>
      </c>
      <c r="F11" s="43">
        <f>'INFORMACION INICIAL'!C6</f>
        <v>21</v>
      </c>
      <c r="G11" s="13">
        <f t="shared" si="0"/>
        <v>351.61533000000009</v>
      </c>
    </row>
    <row r="12" spans="2:7" x14ac:dyDescent="0.25">
      <c r="B12" s="32" t="s">
        <v>48</v>
      </c>
      <c r="C12" s="8">
        <f>'VENTILACION SUPER-PERS'!D4</f>
        <v>46.732500000000002</v>
      </c>
      <c r="D12" s="2">
        <v>0.33</v>
      </c>
      <c r="E12" s="13">
        <f>'INFORMACION INICIAL'!C5</f>
        <v>0</v>
      </c>
      <c r="F12" s="43">
        <f>'INFORMACION INICIAL'!C6</f>
        <v>21</v>
      </c>
      <c r="G12" s="13">
        <f t="shared" si="0"/>
        <v>323.85622500000005</v>
      </c>
    </row>
    <row r="13" spans="2:7" x14ac:dyDescent="0.25">
      <c r="B13" s="4"/>
      <c r="C13" s="2"/>
      <c r="D13" s="2"/>
      <c r="E13" s="2"/>
      <c r="F13" s="2" t="s">
        <v>59</v>
      </c>
      <c r="G13" s="8">
        <f>SUM(G6:G12)</f>
        <v>2352.7085550000002</v>
      </c>
    </row>
    <row r="14" spans="2:7" x14ac:dyDescent="0.25">
      <c r="B14" t="s">
        <v>41</v>
      </c>
      <c r="C14" s="1"/>
      <c r="D14" s="1"/>
      <c r="E14" s="1"/>
      <c r="F14" s="1"/>
      <c r="G14" s="1"/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  <c r="G15" s="1"/>
    </row>
    <row r="16" spans="2:7" x14ac:dyDescent="0.25">
      <c r="B16" s="2">
        <f>'INFORMACION INICIAL'!C10</f>
        <v>0.5</v>
      </c>
      <c r="C16" s="8">
        <f>C11*3</f>
        <v>140.19749999999999</v>
      </c>
      <c r="D16" s="13">
        <f>'INFORMACION INICIAL'!C3</f>
        <v>-1.8</v>
      </c>
      <c r="E16" s="43">
        <f>'INFORMACION INICIAL'!C6</f>
        <v>21</v>
      </c>
      <c r="F16" s="8">
        <f>B16*C16*(E16-D16)*'INFORMACION INICIAL'!C8*'INFORMACION INICIAL'!C7/3.6</f>
        <v>569.59527711874523</v>
      </c>
      <c r="G16" s="1"/>
    </row>
    <row r="17" spans="2:7" x14ac:dyDescent="0.25">
      <c r="C17" s="1"/>
      <c r="D17" s="1"/>
      <c r="E17" s="1"/>
      <c r="F17" s="1"/>
      <c r="G17" s="1"/>
    </row>
    <row r="18" spans="2:7" x14ac:dyDescent="0.25">
      <c r="B18" t="s">
        <v>42</v>
      </c>
      <c r="C18" s="1"/>
      <c r="D18" s="1"/>
      <c r="E18" s="1"/>
      <c r="F18" s="1"/>
      <c r="G18" s="1"/>
    </row>
    <row r="19" spans="2:7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7" x14ac:dyDescent="0.25">
      <c r="B20" s="13">
        <f>'VENTILACION SUPER-PERS'!H9*3.6</f>
        <v>549.26662499999998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4463.1277373555577</v>
      </c>
    </row>
  </sheetData>
  <mergeCells count="1">
    <mergeCell ref="B2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E16" sqref="E16"/>
    </sheetView>
  </sheetViews>
  <sheetFormatPr baseColWidth="10" defaultRowHeight="15" x14ac:dyDescent="0.25"/>
  <cols>
    <col min="2" max="2" width="23.85546875" bestFit="1" customWidth="1"/>
    <col min="3" max="3" width="23.28515625" bestFit="1" customWidth="1"/>
    <col min="4" max="4" width="28.7109375" bestFit="1" customWidth="1"/>
    <col min="5" max="6" width="23.5703125" bestFit="1" customWidth="1"/>
    <col min="7" max="7" width="19.7109375" bestFit="1" customWidth="1"/>
  </cols>
  <sheetData>
    <row r="2" spans="2:7" x14ac:dyDescent="0.25">
      <c r="B2" s="177" t="s">
        <v>65</v>
      </c>
      <c r="C2" s="177"/>
      <c r="D2" s="177"/>
      <c r="E2" s="177"/>
      <c r="F2" s="177"/>
      <c r="G2" s="177"/>
    </row>
    <row r="4" spans="2:7" x14ac:dyDescent="0.25">
      <c r="B4" t="s">
        <v>58</v>
      </c>
    </row>
    <row r="5" spans="2:7" x14ac:dyDescent="0.25">
      <c r="B5" s="32" t="s">
        <v>40</v>
      </c>
      <c r="C5" s="21" t="s">
        <v>102</v>
      </c>
      <c r="D5" s="21" t="s">
        <v>106</v>
      </c>
      <c r="E5" s="21" t="s">
        <v>105</v>
      </c>
      <c r="F5" s="21" t="s">
        <v>104</v>
      </c>
      <c r="G5" s="21" t="s">
        <v>103</v>
      </c>
    </row>
    <row r="6" spans="2:7" x14ac:dyDescent="0.25">
      <c r="B6" s="32" t="s">
        <v>43</v>
      </c>
      <c r="C6" s="8">
        <f>6.6*3</f>
        <v>19.799999999999997</v>
      </c>
      <c r="D6" s="2">
        <v>0.7</v>
      </c>
      <c r="E6" s="13">
        <f>'INFORMACION INICIAL'!C4</f>
        <v>10</v>
      </c>
      <c r="F6" s="43">
        <f>'INFORMACION INICIAL'!C6</f>
        <v>21</v>
      </c>
      <c r="G6" s="13">
        <f t="shared" ref="G6:G12" si="0">C6*D6*(F6-E6)</f>
        <v>152.45999999999998</v>
      </c>
    </row>
    <row r="7" spans="2:7" x14ac:dyDescent="0.25">
      <c r="B7" s="32" t="s">
        <v>44</v>
      </c>
      <c r="C7" s="8">
        <f>C6</f>
        <v>19.799999999999997</v>
      </c>
      <c r="D7" s="2">
        <v>0.7</v>
      </c>
      <c r="E7" s="13">
        <f>'INFORMACION INICIAL'!C4</f>
        <v>10</v>
      </c>
      <c r="F7" s="43">
        <f>'INFORMACION INICIAL'!C6</f>
        <v>21</v>
      </c>
      <c r="G7" s="13">
        <f t="shared" si="0"/>
        <v>152.45999999999998</v>
      </c>
    </row>
    <row r="8" spans="2:7" x14ac:dyDescent="0.25">
      <c r="B8" s="32" t="s">
        <v>45</v>
      </c>
      <c r="C8" s="8">
        <f>7*3-2*4</f>
        <v>13</v>
      </c>
      <c r="D8" s="2">
        <v>0.7</v>
      </c>
      <c r="E8" s="13">
        <f>'INFORMACION INICIAL'!C3</f>
        <v>-1.8</v>
      </c>
      <c r="F8" s="43">
        <f>'INFORMACION INICIAL'!C6</f>
        <v>21</v>
      </c>
      <c r="G8" s="13">
        <f t="shared" si="0"/>
        <v>207.48</v>
      </c>
    </row>
    <row r="9" spans="2:7" x14ac:dyDescent="0.25">
      <c r="B9" s="32" t="s">
        <v>46</v>
      </c>
      <c r="C9" s="8">
        <f>7*3-2*4.3</f>
        <v>12.4</v>
      </c>
      <c r="D9" s="2">
        <v>0.7</v>
      </c>
      <c r="E9" s="13">
        <f>'INFORMACION INICIAL'!C3</f>
        <v>-1.8</v>
      </c>
      <c r="F9" s="43">
        <f>'INFORMACION INICIAL'!C6</f>
        <v>21</v>
      </c>
      <c r="G9" s="13">
        <f t="shared" si="0"/>
        <v>197.904</v>
      </c>
    </row>
    <row r="10" spans="2:7" x14ac:dyDescent="0.25">
      <c r="B10" s="32" t="s">
        <v>49</v>
      </c>
      <c r="C10" s="8">
        <f>2*(4.3+4)</f>
        <v>16.600000000000001</v>
      </c>
      <c r="D10" s="2">
        <v>1.9</v>
      </c>
      <c r="E10" s="13">
        <f>'INFORMACION INICIAL'!C3</f>
        <v>-1.8</v>
      </c>
      <c r="F10" s="43">
        <f>'INFORMACION INICIAL'!C6</f>
        <v>21</v>
      </c>
      <c r="G10" s="13">
        <f t="shared" si="0"/>
        <v>719.11200000000008</v>
      </c>
    </row>
    <row r="11" spans="2:7" x14ac:dyDescent="0.25">
      <c r="B11" s="32" t="s">
        <v>47</v>
      </c>
      <c r="C11" s="8">
        <f>C12</f>
        <v>39.782499999999999</v>
      </c>
      <c r="D11" s="2">
        <v>0.33</v>
      </c>
      <c r="E11" s="13">
        <f>'INFORMACION INICIAL'!C3</f>
        <v>-1.8</v>
      </c>
      <c r="F11" s="43">
        <f>'INFORMACION INICIAL'!C6</f>
        <v>21</v>
      </c>
      <c r="G11" s="13">
        <f t="shared" si="0"/>
        <v>299.32353000000001</v>
      </c>
    </row>
    <row r="12" spans="2:7" x14ac:dyDescent="0.25">
      <c r="B12" s="32" t="s">
        <v>48</v>
      </c>
      <c r="C12" s="8">
        <f>'VENTILACION SUPER-PERS'!D13</f>
        <v>39.782499999999999</v>
      </c>
      <c r="D12" s="2">
        <v>0.33</v>
      </c>
      <c r="E12" s="13">
        <f>'INFORMACION INICIAL'!C5</f>
        <v>0</v>
      </c>
      <c r="F12" s="43">
        <f>'INFORMACION INICIAL'!C6</f>
        <v>21</v>
      </c>
      <c r="G12" s="13">
        <f t="shared" si="0"/>
        <v>275.692725</v>
      </c>
    </row>
    <row r="13" spans="2:7" x14ac:dyDescent="0.25">
      <c r="B13" s="4"/>
      <c r="C13" s="4"/>
      <c r="D13" s="4"/>
      <c r="E13" s="52"/>
      <c r="F13" s="21" t="s">
        <v>59</v>
      </c>
      <c r="G13" s="8">
        <f>SUM(G6:G12)</f>
        <v>2004.4322550000002</v>
      </c>
    </row>
    <row r="14" spans="2:7" x14ac:dyDescent="0.25">
      <c r="B14" t="s">
        <v>41</v>
      </c>
      <c r="E14" s="24"/>
    </row>
    <row r="15" spans="2:7" x14ac:dyDescent="0.25">
      <c r="B15" s="21" t="s">
        <v>100</v>
      </c>
      <c r="C15" s="21" t="s">
        <v>101</v>
      </c>
      <c r="D15" s="21" t="s">
        <v>105</v>
      </c>
      <c r="E15" s="21" t="s">
        <v>104</v>
      </c>
      <c r="F15" s="21" t="s">
        <v>103</v>
      </c>
    </row>
    <row r="16" spans="2:7" x14ac:dyDescent="0.25">
      <c r="B16" s="21">
        <f>'INFORMACION INICIAL'!C10</f>
        <v>0.5</v>
      </c>
      <c r="C16" s="8">
        <f>C12*3</f>
        <v>119.3475</v>
      </c>
      <c r="D16" s="13">
        <f>'INFORMACION INICIAL'!C3</f>
        <v>-1.8</v>
      </c>
      <c r="E16" s="43">
        <f>'INFORMACION INICIAL'!C6</f>
        <v>21</v>
      </c>
      <c r="F16" s="8">
        <f>B16*C16*(E16-D16)*'INFORMACION INICIAL'!C7*'INFORMACION INICIAL'!C8/3.6</f>
        <v>484.88576712087905</v>
      </c>
    </row>
    <row r="18" spans="2:5" x14ac:dyDescent="0.25">
      <c r="B18" t="s">
        <v>42</v>
      </c>
    </row>
    <row r="19" spans="2:5" x14ac:dyDescent="0.25">
      <c r="B19" s="21" t="s">
        <v>107</v>
      </c>
      <c r="C19" s="21" t="s">
        <v>105</v>
      </c>
      <c r="D19" s="21" t="s">
        <v>104</v>
      </c>
      <c r="E19" s="21" t="s">
        <v>103</v>
      </c>
    </row>
    <row r="20" spans="2:5" x14ac:dyDescent="0.25">
      <c r="B20" s="8">
        <f>'VENTILACION SUPER-PERS'!H13*3.6</f>
        <v>521.11912499999994</v>
      </c>
      <c r="C20" s="13">
        <f>'INFORMACION INICIAL'!C3</f>
        <v>-1.8</v>
      </c>
      <c r="D20" s="43">
        <f>'INFORMACION INICIAL'!C6</f>
        <v>21</v>
      </c>
      <c r="E20" s="8">
        <f>B20*(D20-C20)*'INFORMACION INICIAL'!C7*'INFORMACION INICIAL'!C8/3.6</f>
        <v>4234.4120603613183</v>
      </c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33</vt:i4>
      </vt:variant>
    </vt:vector>
  </HeadingPairs>
  <TitlesOfParts>
    <vt:vector size="33" baseType="lpstr">
      <vt:lpstr>INFORMACION INICIAL</vt:lpstr>
      <vt:lpstr>VENTILACION SUPER-PERS</vt:lpstr>
      <vt:lpstr>INFORME GENERAL</vt:lpstr>
      <vt:lpstr>DETALLE RADIADORES</vt:lpstr>
      <vt:lpstr>LOSA RADIANTE</vt:lpstr>
      <vt:lpstr>Sala AL1-AL2-AL3-AL4</vt:lpstr>
      <vt:lpstr>Sala AL5-AL6</vt:lpstr>
      <vt:lpstr>Sala AL7-AL8-AL9-AL10</vt:lpstr>
      <vt:lpstr>Sala ABRM1-ABRM2</vt:lpstr>
      <vt:lpstr>Sala ABRM3-ABRM4-ABRM5-ABRM6</vt:lpstr>
      <vt:lpstr>Sala ABRM7-ABRM8</vt:lpstr>
      <vt:lpstr>Sala COPE</vt:lpstr>
      <vt:lpstr>Sala COM-SP</vt:lpstr>
      <vt:lpstr>Sala AESM</vt:lpstr>
      <vt:lpstr>Sala AES</vt:lpstr>
      <vt:lpstr>Sala OD</vt:lpstr>
      <vt:lpstr>Sala SC1-SC2</vt:lpstr>
      <vt:lpstr>Sala BP1-BP2-BP3-BP4</vt:lpstr>
      <vt:lpstr>Sala DMD-APA1-APA2</vt:lpstr>
      <vt:lpstr>Sala UTP </vt:lpstr>
      <vt:lpstr>Sala DIR</vt:lpstr>
      <vt:lpstr>Sala BP5-CP</vt:lpstr>
      <vt:lpstr>Sala PA</vt:lpstr>
      <vt:lpstr>Sala AET-A1-A2-A3</vt:lpstr>
      <vt:lpstr>Sala ACP</vt:lpstr>
      <vt:lpstr>Sala RECEP-SEC</vt:lpstr>
      <vt:lpstr>Sala PCC </vt:lpstr>
      <vt:lpstr>A.HIDRO</vt:lpstr>
      <vt:lpstr>MANEJADORA DE AIRE</vt:lpstr>
      <vt:lpstr>C1 BSR1</vt:lpstr>
      <vt:lpstr>C1 BSR2</vt:lpstr>
      <vt:lpstr>BAÑOS</vt:lpstr>
      <vt:lpstr>PASILLOS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Hernández Roig</dc:creator>
  <cp:lastModifiedBy>Pedro Hernández Roig</cp:lastModifiedBy>
  <cp:lastPrinted>2016-09-09T07:05:42Z</cp:lastPrinted>
  <dcterms:created xsi:type="dcterms:W3CDTF">2016-09-08T01:49:52Z</dcterms:created>
  <dcterms:modified xsi:type="dcterms:W3CDTF">2017-05-12T15:23:24Z</dcterms:modified>
</cp:coreProperties>
</file>